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тариф дежурный" sheetId="1" r:id="rId1"/>
    <sheet name="мастерство 01092020" sheetId="4" r:id="rId2"/>
    <sheet name="дежурный мастерство" sheetId="2" r:id="rId3"/>
    <sheet name="01.09.2020тариф" sheetId="5" r:id="rId4"/>
    <sheet name="тариф МЦ 01092020" sheetId="3" r:id="rId5"/>
  </sheets>
  <calcPr calcId="124519"/>
</workbook>
</file>

<file path=xl/calcChain.xml><?xml version="1.0" encoding="utf-8"?>
<calcChain xmlns="http://schemas.openxmlformats.org/spreadsheetml/2006/main">
  <c r="BB18" i="1"/>
  <c r="BA18"/>
  <c r="AB11" i="3"/>
  <c r="AA11"/>
  <c r="Z11"/>
  <c r="Z10"/>
  <c r="Z9"/>
  <c r="Z8"/>
  <c r="Q125" i="5"/>
  <c r="AA126" l="1"/>
  <c r="J125"/>
  <c r="S77"/>
  <c r="L35" i="4"/>
  <c r="L32"/>
  <c r="N43" i="5"/>
  <c r="M43"/>
  <c r="AE83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125" s="1"/>
  <c r="M32" i="4"/>
  <c r="N32" s="1"/>
  <c r="P32" s="1"/>
  <c r="R32" s="1"/>
  <c r="S32" s="1"/>
  <c r="E7" i="3"/>
  <c r="S7"/>
  <c r="U7"/>
  <c r="W7"/>
  <c r="L8"/>
  <c r="M8" s="1"/>
  <c r="L9"/>
  <c r="M9" s="1"/>
  <c r="N9" s="1"/>
  <c r="L10"/>
  <c r="N10" s="1"/>
  <c r="U10"/>
  <c r="H11"/>
  <c r="I11"/>
  <c r="L11"/>
  <c r="U11"/>
  <c r="AX18" i="1"/>
  <c r="AC18"/>
  <c r="M7"/>
  <c r="N7"/>
  <c r="O7"/>
  <c r="P7" s="1"/>
  <c r="Q7" s="1"/>
  <c r="M8"/>
  <c r="N8"/>
  <c r="O8"/>
  <c r="P8" s="1"/>
  <c r="Q8" s="1"/>
  <c r="M9"/>
  <c r="N9"/>
  <c r="O9"/>
  <c r="P9" s="1"/>
  <c r="Q9" s="1"/>
  <c r="W10" i="3" l="1"/>
  <c r="O10" s="1"/>
  <c r="X10" s="1"/>
  <c r="Y10"/>
  <c r="M11"/>
  <c r="N8"/>
  <c r="X9"/>
  <c r="W9"/>
  <c r="O9" s="1"/>
  <c r="Y9"/>
  <c r="W17" i="1"/>
  <c r="AC17"/>
  <c r="AC12"/>
  <c r="AC11"/>
  <c r="AC10"/>
  <c r="AC9"/>
  <c r="AC8"/>
  <c r="M12" i="5"/>
  <c r="AE124"/>
  <c r="AG124"/>
  <c r="AE123"/>
  <c r="AG123"/>
  <c r="AE122"/>
  <c r="Q122"/>
  <c r="AG122"/>
  <c r="AE121"/>
  <c r="AG121"/>
  <c r="AE120"/>
  <c r="Q120"/>
  <c r="AG120"/>
  <c r="AE119"/>
  <c r="AG119"/>
  <c r="AE118"/>
  <c r="AG118"/>
  <c r="AE117"/>
  <c r="AG117"/>
  <c r="Q116"/>
  <c r="Q115"/>
  <c r="Q114"/>
  <c r="Q113"/>
  <c r="Q112"/>
  <c r="Q111"/>
  <c r="Q110"/>
  <c r="Q109"/>
  <c r="Q108"/>
  <c r="Q107"/>
  <c r="AE106"/>
  <c r="Q106"/>
  <c r="AE105"/>
  <c r="Q105"/>
  <c r="AW105" s="1"/>
  <c r="AE104"/>
  <c r="Q104"/>
  <c r="AW104" s="1"/>
  <c r="R104" s="1"/>
  <c r="AE103"/>
  <c r="Q103"/>
  <c r="AW103" s="1"/>
  <c r="AE102"/>
  <c r="Q102"/>
  <c r="AE101"/>
  <c r="Q101"/>
  <c r="AW101" s="1"/>
  <c r="AE100"/>
  <c r="Q100"/>
  <c r="AW100" s="1"/>
  <c r="R100" s="1"/>
  <c r="AE99"/>
  <c r="Q99"/>
  <c r="AW99" s="1"/>
  <c r="AE98"/>
  <c r="Q98"/>
  <c r="AE97"/>
  <c r="Q97"/>
  <c r="AW97" s="1"/>
  <c r="AE96"/>
  <c r="Q96"/>
  <c r="AW96" s="1"/>
  <c r="R96" s="1"/>
  <c r="AE95"/>
  <c r="Q95"/>
  <c r="AW95" s="1"/>
  <c r="Q93"/>
  <c r="AW93" s="1"/>
  <c r="Q91"/>
  <c r="AW91" s="1"/>
  <c r="Q89"/>
  <c r="AW89" s="1"/>
  <c r="AE88"/>
  <c r="Q88"/>
  <c r="AE87"/>
  <c r="AE125" s="1"/>
  <c r="AY87"/>
  <c r="Q85"/>
  <c r="Q84"/>
  <c r="Q83"/>
  <c r="Q82"/>
  <c r="AW82" s="1"/>
  <c r="R82" s="1"/>
  <c r="Q81"/>
  <c r="Q80"/>
  <c r="AW80" s="1"/>
  <c r="R80" s="1"/>
  <c r="Q79"/>
  <c r="Q78"/>
  <c r="AW78" s="1"/>
  <c r="AT77"/>
  <c r="AT126" s="1"/>
  <c r="AK77"/>
  <c r="AK126" s="1"/>
  <c r="AI77"/>
  <c r="AI126" s="1"/>
  <c r="S126"/>
  <c r="J77"/>
  <c r="J126" s="1"/>
  <c r="I77"/>
  <c r="H77"/>
  <c r="H126" s="1"/>
  <c r="AU76"/>
  <c r="N76"/>
  <c r="M76"/>
  <c r="AU75"/>
  <c r="N75"/>
  <c r="M75"/>
  <c r="AU74"/>
  <c r="O74"/>
  <c r="P74" s="1"/>
  <c r="M74"/>
  <c r="AU73"/>
  <c r="N73"/>
  <c r="M73"/>
  <c r="O73" s="1"/>
  <c r="AU72"/>
  <c r="AA72"/>
  <c r="N72"/>
  <c r="M72"/>
  <c r="O72" s="1"/>
  <c r="AU71"/>
  <c r="AE71"/>
  <c r="N71"/>
  <c r="M71"/>
  <c r="O71" s="1"/>
  <c r="AU70"/>
  <c r="N70"/>
  <c r="M70"/>
  <c r="AU69"/>
  <c r="N69"/>
  <c r="M69"/>
  <c r="O69" s="1"/>
  <c r="AU68"/>
  <c r="N68"/>
  <c r="M68"/>
  <c r="AU67"/>
  <c r="N67"/>
  <c r="M67"/>
  <c r="O67" s="1"/>
  <c r="AU66"/>
  <c r="N66"/>
  <c r="M66"/>
  <c r="AU65"/>
  <c r="T65"/>
  <c r="N65"/>
  <c r="M65"/>
  <c r="AU64"/>
  <c r="AC64"/>
  <c r="W64"/>
  <c r="N64"/>
  <c r="M64"/>
  <c r="O64" s="1"/>
  <c r="AU63"/>
  <c r="AC63"/>
  <c r="W63"/>
  <c r="N63"/>
  <c r="M63"/>
  <c r="AU62"/>
  <c r="AC62"/>
  <c r="AA62"/>
  <c r="W62"/>
  <c r="N62"/>
  <c r="M62"/>
  <c r="AU61"/>
  <c r="AM61"/>
  <c r="AC61"/>
  <c r="AA61"/>
  <c r="W61"/>
  <c r="N61"/>
  <c r="M61"/>
  <c r="O61" s="1"/>
  <c r="AU60"/>
  <c r="AC60"/>
  <c r="W60"/>
  <c r="N60"/>
  <c r="M60"/>
  <c r="AU59"/>
  <c r="AC59"/>
  <c r="W59"/>
  <c r="N59"/>
  <c r="M59"/>
  <c r="O59" s="1"/>
  <c r="AU58"/>
  <c r="AC58"/>
  <c r="W58"/>
  <c r="N58"/>
  <c r="M58"/>
  <c r="AU57"/>
  <c r="AC57"/>
  <c r="W57"/>
  <c r="N57"/>
  <c r="M57"/>
  <c r="O57" s="1"/>
  <c r="AU56"/>
  <c r="AC56"/>
  <c r="W56"/>
  <c r="N56"/>
  <c r="M56"/>
  <c r="AU55"/>
  <c r="AC55"/>
  <c r="AA55"/>
  <c r="W55"/>
  <c r="N55"/>
  <c r="M55"/>
  <c r="AU54"/>
  <c r="AM54"/>
  <c r="N54"/>
  <c r="M54"/>
  <c r="AU53"/>
  <c r="AM53"/>
  <c r="AA53"/>
  <c r="N53"/>
  <c r="M53"/>
  <c r="O53" s="1"/>
  <c r="AU52"/>
  <c r="AM52"/>
  <c r="N52"/>
  <c r="O52" s="1"/>
  <c r="P52" s="1"/>
  <c r="AU51"/>
  <c r="N51"/>
  <c r="M51"/>
  <c r="AU50"/>
  <c r="AM50"/>
  <c r="N50"/>
  <c r="M50"/>
  <c r="AU49"/>
  <c r="N49"/>
  <c r="M49"/>
  <c r="AU48"/>
  <c r="W48"/>
  <c r="N48"/>
  <c r="M48"/>
  <c r="AU47"/>
  <c r="AM47"/>
  <c r="N47"/>
  <c r="M47"/>
  <c r="AU46"/>
  <c r="AM46"/>
  <c r="N46"/>
  <c r="M46"/>
  <c r="AU45"/>
  <c r="AM45"/>
  <c r="W45"/>
  <c r="N45"/>
  <c r="M45"/>
  <c r="AU44"/>
  <c r="AM44"/>
  <c r="W44"/>
  <c r="N44"/>
  <c r="M44"/>
  <c r="AU43"/>
  <c r="AM43"/>
  <c r="W43"/>
  <c r="AU42"/>
  <c r="AA42"/>
  <c r="N42"/>
  <c r="M42"/>
  <c r="AU41"/>
  <c r="AM41"/>
  <c r="AA41"/>
  <c r="W41"/>
  <c r="N41"/>
  <c r="M41"/>
  <c r="AU40"/>
  <c r="N40"/>
  <c r="M40"/>
  <c r="AU39"/>
  <c r="AM39"/>
  <c r="AC39"/>
  <c r="AA39"/>
  <c r="N39"/>
  <c r="M39"/>
  <c r="AU38"/>
  <c r="AM38"/>
  <c r="AC38"/>
  <c r="AA38"/>
  <c r="N38"/>
  <c r="M38"/>
  <c r="AU37"/>
  <c r="AM37"/>
  <c r="AC37"/>
  <c r="AA37"/>
  <c r="Y37"/>
  <c r="W37"/>
  <c r="N37"/>
  <c r="M37"/>
  <c r="AU36"/>
  <c r="AO36"/>
  <c r="AO77" s="1"/>
  <c r="AO126" s="1"/>
  <c r="AM36"/>
  <c r="AA36"/>
  <c r="N36"/>
  <c r="M36"/>
  <c r="AU35"/>
  <c r="AM35"/>
  <c r="AC35"/>
  <c r="W35"/>
  <c r="N35"/>
  <c r="M35"/>
  <c r="AU34"/>
  <c r="AC34"/>
  <c r="W34"/>
  <c r="N34"/>
  <c r="M34"/>
  <c r="AU33"/>
  <c r="AM33"/>
  <c r="AC33"/>
  <c r="N33"/>
  <c r="M33"/>
  <c r="AU32"/>
  <c r="AM32"/>
  <c r="AC32"/>
  <c r="AA32"/>
  <c r="N32"/>
  <c r="M32"/>
  <c r="AU31"/>
  <c r="AM31"/>
  <c r="AA31"/>
  <c r="N31"/>
  <c r="M31"/>
  <c r="AU30"/>
  <c r="AM30"/>
  <c r="N30"/>
  <c r="M30"/>
  <c r="AU29"/>
  <c r="AM29"/>
  <c r="W29"/>
  <c r="N29"/>
  <c r="M29"/>
  <c r="AU28"/>
  <c r="AA28"/>
  <c r="N28"/>
  <c r="M28"/>
  <c r="AU27"/>
  <c r="AM27"/>
  <c r="AC27"/>
  <c r="AA27"/>
  <c r="Y27"/>
  <c r="Y77" s="1"/>
  <c r="Y126" s="1"/>
  <c r="W27"/>
  <c r="N27"/>
  <c r="M27"/>
  <c r="AU26"/>
  <c r="T26"/>
  <c r="N26"/>
  <c r="M26"/>
  <c r="AU25"/>
  <c r="AC25"/>
  <c r="N25"/>
  <c r="M25"/>
  <c r="AU24"/>
  <c r="AC24"/>
  <c r="W24"/>
  <c r="T24"/>
  <c r="N24"/>
  <c r="M24"/>
  <c r="AU23"/>
  <c r="AM23"/>
  <c r="AC23"/>
  <c r="W23"/>
  <c r="N23"/>
  <c r="M23"/>
  <c r="AU22"/>
  <c r="AM22"/>
  <c r="AC22"/>
  <c r="N22"/>
  <c r="M22"/>
  <c r="AU21"/>
  <c r="AM21"/>
  <c r="AC21"/>
  <c r="AA21"/>
  <c r="W21"/>
  <c r="N21"/>
  <c r="M21"/>
  <c r="AU20"/>
  <c r="AC20"/>
  <c r="T20"/>
  <c r="N20"/>
  <c r="M20"/>
  <c r="AU19"/>
  <c r="AM19"/>
  <c r="AC19"/>
  <c r="N19"/>
  <c r="M19"/>
  <c r="AU18"/>
  <c r="AM18"/>
  <c r="AC18"/>
  <c r="AA18"/>
  <c r="N18"/>
  <c r="M18"/>
  <c r="AU17"/>
  <c r="AC17"/>
  <c r="N17"/>
  <c r="M17"/>
  <c r="AU16"/>
  <c r="AC16"/>
  <c r="N16"/>
  <c r="M16"/>
  <c r="AU15"/>
  <c r="AM15"/>
  <c r="AC15"/>
  <c r="W15"/>
  <c r="N15"/>
  <c r="M15"/>
  <c r="AU14"/>
  <c r="AM14"/>
  <c r="AC14"/>
  <c r="AA14"/>
  <c r="W14"/>
  <c r="N14"/>
  <c r="M14"/>
  <c r="AU13"/>
  <c r="AM13"/>
  <c r="AC13"/>
  <c r="N13"/>
  <c r="M13"/>
  <c r="AU12"/>
  <c r="AC12"/>
  <c r="AA12"/>
  <c r="W12"/>
  <c r="N12"/>
  <c r="AU11"/>
  <c r="N11"/>
  <c r="M11"/>
  <c r="AU10"/>
  <c r="N10"/>
  <c r="M10"/>
  <c r="AU9"/>
  <c r="AC9"/>
  <c r="N9"/>
  <c r="M9"/>
  <c r="AU8"/>
  <c r="AM8"/>
  <c r="AC8"/>
  <c r="AA8"/>
  <c r="N8"/>
  <c r="M8"/>
  <c r="AU7"/>
  <c r="AC7"/>
  <c r="N7"/>
  <c r="N77" s="1"/>
  <c r="M7"/>
  <c r="AW6"/>
  <c r="AX6" s="1"/>
  <c r="AI6"/>
  <c r="AJ6" s="1"/>
  <c r="AK6" s="1"/>
  <c r="AC6"/>
  <c r="AD6" s="1"/>
  <c r="AE6" s="1"/>
  <c r="I18" i="2"/>
  <c r="I49" i="4"/>
  <c r="L48"/>
  <c r="M48" s="1"/>
  <c r="N48" s="1"/>
  <c r="Q48" s="1"/>
  <c r="R48" s="1"/>
  <c r="S48" s="1"/>
  <c r="L47"/>
  <c r="M47" s="1"/>
  <c r="N47" s="1"/>
  <c r="Q47" s="1"/>
  <c r="R47" s="1"/>
  <c r="S47" s="1"/>
  <c r="L46"/>
  <c r="M46" s="1"/>
  <c r="N46" s="1"/>
  <c r="Q46" s="1"/>
  <c r="R46" s="1"/>
  <c r="S46" s="1"/>
  <c r="L45"/>
  <c r="M45" s="1"/>
  <c r="N45" s="1"/>
  <c r="Q45" s="1"/>
  <c r="R45" s="1"/>
  <c r="S45" s="1"/>
  <c r="L44"/>
  <c r="M44" s="1"/>
  <c r="N44" s="1"/>
  <c r="Q44" s="1"/>
  <c r="R44" s="1"/>
  <c r="S44" s="1"/>
  <c r="L43"/>
  <c r="M43" s="1"/>
  <c r="N43" s="1"/>
  <c r="Q43" s="1"/>
  <c r="R43" s="1"/>
  <c r="S43" s="1"/>
  <c r="L42"/>
  <c r="M42" s="1"/>
  <c r="N42" s="1"/>
  <c r="Q42" s="1"/>
  <c r="R42" s="1"/>
  <c r="S42" s="1"/>
  <c r="L41"/>
  <c r="M41" s="1"/>
  <c r="N41" s="1"/>
  <c r="Q41" s="1"/>
  <c r="R41" s="1"/>
  <c r="S41" s="1"/>
  <c r="L40"/>
  <c r="M40" s="1"/>
  <c r="N40" s="1"/>
  <c r="Q40" s="1"/>
  <c r="R40" s="1"/>
  <c r="S40" s="1"/>
  <c r="L39"/>
  <c r="M39" s="1"/>
  <c r="N39" s="1"/>
  <c r="Q39" s="1"/>
  <c r="R39" s="1"/>
  <c r="S39" s="1"/>
  <c r="L38"/>
  <c r="M38" s="1"/>
  <c r="N38" s="1"/>
  <c r="Q38" s="1"/>
  <c r="R38" s="1"/>
  <c r="S38" s="1"/>
  <c r="L37"/>
  <c r="M37" s="1"/>
  <c r="N37" s="1"/>
  <c r="Q37" s="1"/>
  <c r="R37" s="1"/>
  <c r="S37" s="1"/>
  <c r="L36"/>
  <c r="M36" s="1"/>
  <c r="N36" s="1"/>
  <c r="Q36" s="1"/>
  <c r="R36" s="1"/>
  <c r="S36" s="1"/>
  <c r="M35"/>
  <c r="N35" s="1"/>
  <c r="Q35" s="1"/>
  <c r="R35" s="1"/>
  <c r="S35" s="1"/>
  <c r="L34"/>
  <c r="M34" s="1"/>
  <c r="N34" s="1"/>
  <c r="Q34" s="1"/>
  <c r="R34" s="1"/>
  <c r="S34" s="1"/>
  <c r="L33"/>
  <c r="M33" s="1"/>
  <c r="N33" s="1"/>
  <c r="Q33" s="1"/>
  <c r="L31"/>
  <c r="M31" s="1"/>
  <c r="N31" s="1"/>
  <c r="P31" s="1"/>
  <c r="R31" s="1"/>
  <c r="S31" s="1"/>
  <c r="L30"/>
  <c r="M30" s="1"/>
  <c r="N30" s="1"/>
  <c r="P30" s="1"/>
  <c r="R30" s="1"/>
  <c r="S30" s="1"/>
  <c r="L29"/>
  <c r="M29" s="1"/>
  <c r="N29" s="1"/>
  <c r="P29" s="1"/>
  <c r="R29" s="1"/>
  <c r="S29" s="1"/>
  <c r="L28"/>
  <c r="M28" s="1"/>
  <c r="N28" s="1"/>
  <c r="P28" s="1"/>
  <c r="R28" s="1"/>
  <c r="S28" s="1"/>
  <c r="L27"/>
  <c r="M27" s="1"/>
  <c r="N27" s="1"/>
  <c r="P27" s="1"/>
  <c r="R27" s="1"/>
  <c r="S27" s="1"/>
  <c r="L26"/>
  <c r="M26" s="1"/>
  <c r="N26" s="1"/>
  <c r="P26" s="1"/>
  <c r="R26" s="1"/>
  <c r="S26" s="1"/>
  <c r="L25"/>
  <c r="M25" s="1"/>
  <c r="N25" s="1"/>
  <c r="P25" s="1"/>
  <c r="R25" s="1"/>
  <c r="S25" s="1"/>
  <c r="L24"/>
  <c r="M24" s="1"/>
  <c r="N24" s="1"/>
  <c r="P24" s="1"/>
  <c r="R24" s="1"/>
  <c r="S24" s="1"/>
  <c r="L23"/>
  <c r="M23" s="1"/>
  <c r="N23" s="1"/>
  <c r="P23" s="1"/>
  <c r="R23" s="1"/>
  <c r="S23" s="1"/>
  <c r="L22"/>
  <c r="M22" s="1"/>
  <c r="N22" s="1"/>
  <c r="P22" s="1"/>
  <c r="R22" s="1"/>
  <c r="S22" s="1"/>
  <c r="L21"/>
  <c r="M21" s="1"/>
  <c r="N21" s="1"/>
  <c r="P21" s="1"/>
  <c r="R21" s="1"/>
  <c r="S21" s="1"/>
  <c r="L20"/>
  <c r="M20" s="1"/>
  <c r="N20" s="1"/>
  <c r="P20" s="1"/>
  <c r="R20" s="1"/>
  <c r="S20" s="1"/>
  <c r="L19"/>
  <c r="M19" s="1"/>
  <c r="N19" s="1"/>
  <c r="P19" s="1"/>
  <c r="R19" s="1"/>
  <c r="S19" s="1"/>
  <c r="L18"/>
  <c r="M18" s="1"/>
  <c r="N18" s="1"/>
  <c r="P18" s="1"/>
  <c r="L17"/>
  <c r="M17" s="1"/>
  <c r="N17" s="1"/>
  <c r="O17" s="1"/>
  <c r="R17" s="1"/>
  <c r="S17" s="1"/>
  <c r="L16"/>
  <c r="M16" s="1"/>
  <c r="N16" s="1"/>
  <c r="O16" s="1"/>
  <c r="R16" s="1"/>
  <c r="S16" s="1"/>
  <c r="L15"/>
  <c r="M15" s="1"/>
  <c r="N15" s="1"/>
  <c r="O15" s="1"/>
  <c r="R15" s="1"/>
  <c r="S15" s="1"/>
  <c r="L14"/>
  <c r="M14" s="1"/>
  <c r="N14" s="1"/>
  <c r="O14" s="1"/>
  <c r="R14" s="1"/>
  <c r="S14" s="1"/>
  <c r="L13"/>
  <c r="M13" s="1"/>
  <c r="N13" s="1"/>
  <c r="O13" s="1"/>
  <c r="R13" s="1"/>
  <c r="S13" s="1"/>
  <c r="L12"/>
  <c r="M12" s="1"/>
  <c r="N12" s="1"/>
  <c r="O12" s="1"/>
  <c r="R12" s="1"/>
  <c r="S12" s="1"/>
  <c r="L11"/>
  <c r="L17" i="2"/>
  <c r="M17" s="1"/>
  <c r="N17" s="1"/>
  <c r="P17" s="1"/>
  <c r="R17" s="1"/>
  <c r="S17" s="1"/>
  <c r="L16"/>
  <c r="M16" s="1"/>
  <c r="N16" s="1"/>
  <c r="Q16" s="1"/>
  <c r="R16" s="1"/>
  <c r="S16" s="1"/>
  <c r="L15"/>
  <c r="M15" s="1"/>
  <c r="N15" s="1"/>
  <c r="Q15" s="1"/>
  <c r="R15" s="1"/>
  <c r="S15" s="1"/>
  <c r="L14"/>
  <c r="M14" s="1"/>
  <c r="N14" s="1"/>
  <c r="Q14" s="1"/>
  <c r="R14" s="1"/>
  <c r="S14" s="1"/>
  <c r="L13"/>
  <c r="M13" s="1"/>
  <c r="N13" s="1"/>
  <c r="Q13" s="1"/>
  <c r="R13" s="1"/>
  <c r="S13" s="1"/>
  <c r="L12"/>
  <c r="M12" s="1"/>
  <c r="N12" s="1"/>
  <c r="Q12" s="1"/>
  <c r="R12" s="1"/>
  <c r="S12" s="1"/>
  <c r="L11"/>
  <c r="M11" s="1"/>
  <c r="N11" s="1"/>
  <c r="O11" s="1"/>
  <c r="R11" s="1"/>
  <c r="S11" s="1"/>
  <c r="H10"/>
  <c r="R78" i="5" l="1"/>
  <c r="AU77"/>
  <c r="AU126" s="1"/>
  <c r="O10"/>
  <c r="O11"/>
  <c r="O24"/>
  <c r="O25"/>
  <c r="O26"/>
  <c r="O27"/>
  <c r="O28"/>
  <c r="O29"/>
  <c r="O32"/>
  <c r="O33"/>
  <c r="O35"/>
  <c r="O36"/>
  <c r="T77"/>
  <c r="O31"/>
  <c r="O37"/>
  <c r="O38"/>
  <c r="O39"/>
  <c r="O40"/>
  <c r="O44"/>
  <c r="O46"/>
  <c r="O47"/>
  <c r="O48"/>
  <c r="O49"/>
  <c r="Q124"/>
  <c r="Q118"/>
  <c r="AG89"/>
  <c r="AG91"/>
  <c r="AG93"/>
  <c r="O14"/>
  <c r="O20"/>
  <c r="T126"/>
  <c r="O22"/>
  <c r="O30"/>
  <c r="O34"/>
  <c r="O41"/>
  <c r="O42"/>
  <c r="O43"/>
  <c r="P43" s="1"/>
  <c r="Q43" s="1"/>
  <c r="O45"/>
  <c r="O50"/>
  <c r="O51"/>
  <c r="O76"/>
  <c r="Q87"/>
  <c r="AW87" s="1"/>
  <c r="R97"/>
  <c r="R101"/>
  <c r="R105"/>
  <c r="Q117"/>
  <c r="Q119"/>
  <c r="AW119" s="1"/>
  <c r="R119" s="1"/>
  <c r="AX119" s="1"/>
  <c r="AZ119" s="1"/>
  <c r="Q121"/>
  <c r="Q123"/>
  <c r="AW123" s="1"/>
  <c r="R123" s="1"/>
  <c r="AX123" s="1"/>
  <c r="AZ123" s="1"/>
  <c r="L49" i="4"/>
  <c r="W8" i="3"/>
  <c r="Y8"/>
  <c r="Y11" s="1"/>
  <c r="N11"/>
  <c r="P11" i="5"/>
  <c r="Q11" s="1"/>
  <c r="P14"/>
  <c r="P20"/>
  <c r="Q20" s="1"/>
  <c r="P22"/>
  <c r="Q22" s="1"/>
  <c r="P30"/>
  <c r="P31"/>
  <c r="Q31" s="1"/>
  <c r="P34"/>
  <c r="P41"/>
  <c r="Q41" s="1"/>
  <c r="P42"/>
  <c r="P45"/>
  <c r="P50"/>
  <c r="Q50" s="1"/>
  <c r="P51"/>
  <c r="P76"/>
  <c r="Q76" s="1"/>
  <c r="Q24"/>
  <c r="P24"/>
  <c r="Q25"/>
  <c r="P25"/>
  <c r="P26"/>
  <c r="Q26" s="1"/>
  <c r="P27"/>
  <c r="Q27" s="1"/>
  <c r="P28"/>
  <c r="Q28" s="1"/>
  <c r="P29"/>
  <c r="Q29" s="1"/>
  <c r="P32"/>
  <c r="Q32" s="1"/>
  <c r="P33"/>
  <c r="Q33" s="1"/>
  <c r="P35"/>
  <c r="Q35" s="1"/>
  <c r="P36"/>
  <c r="Q36" s="1"/>
  <c r="P37"/>
  <c r="Q37" s="1"/>
  <c r="P38"/>
  <c r="Q38" s="1"/>
  <c r="P39"/>
  <c r="Q39" s="1"/>
  <c r="P40"/>
  <c r="Q40" s="1"/>
  <c r="P44"/>
  <c r="Q44" s="1"/>
  <c r="P46"/>
  <c r="Q46" s="1"/>
  <c r="P47"/>
  <c r="Q47" s="1"/>
  <c r="P48"/>
  <c r="Q48" s="1"/>
  <c r="P49"/>
  <c r="Q49" s="1"/>
  <c r="P53"/>
  <c r="Q53" s="1"/>
  <c r="P57"/>
  <c r="Q57" s="1"/>
  <c r="P59"/>
  <c r="Q59" s="1"/>
  <c r="P61"/>
  <c r="Q61" s="1"/>
  <c r="P64"/>
  <c r="Q64" s="1"/>
  <c r="P67"/>
  <c r="Q67" s="1"/>
  <c r="P69"/>
  <c r="Q69" s="1"/>
  <c r="P71"/>
  <c r="Q71" s="1"/>
  <c r="P72"/>
  <c r="Q72" s="1"/>
  <c r="P73"/>
  <c r="Q73" s="1"/>
  <c r="O7"/>
  <c r="O8"/>
  <c r="O9"/>
  <c r="O12"/>
  <c r="W77"/>
  <c r="W126" s="1"/>
  <c r="O13"/>
  <c r="O15"/>
  <c r="O16"/>
  <c r="O17"/>
  <c r="O18"/>
  <c r="O19"/>
  <c r="O21"/>
  <c r="O23"/>
  <c r="AY79"/>
  <c r="AW79"/>
  <c r="R79" s="1"/>
  <c r="AX79" s="1"/>
  <c r="AZ79" s="1"/>
  <c r="AY81"/>
  <c r="AW81"/>
  <c r="R81" s="1"/>
  <c r="AX81" s="1"/>
  <c r="AZ81" s="1"/>
  <c r="M77"/>
  <c r="M126" s="1"/>
  <c r="AE77"/>
  <c r="AE126" s="1"/>
  <c r="AY83"/>
  <c r="AY85"/>
  <c r="AW117"/>
  <c r="AW121"/>
  <c r="AY84"/>
  <c r="AW84"/>
  <c r="R84" s="1"/>
  <c r="AY86"/>
  <c r="Q86"/>
  <c r="AY88"/>
  <c r="AW88"/>
  <c r="R88" s="1"/>
  <c r="AX88" s="1"/>
  <c r="AZ88" s="1"/>
  <c r="R89"/>
  <c r="AX89" s="1"/>
  <c r="AZ89" s="1"/>
  <c r="AG90"/>
  <c r="Q90"/>
  <c r="AG92"/>
  <c r="Q92"/>
  <c r="AG94"/>
  <c r="Q94"/>
  <c r="AC77"/>
  <c r="AC126" s="1"/>
  <c r="AM77"/>
  <c r="AM126" s="1"/>
  <c r="Q52"/>
  <c r="O54"/>
  <c r="O55"/>
  <c r="O56"/>
  <c r="O58"/>
  <c r="O60"/>
  <c r="O62"/>
  <c r="O63"/>
  <c r="O65"/>
  <c r="O66"/>
  <c r="O68"/>
  <c r="O70"/>
  <c r="Q74"/>
  <c r="O75"/>
  <c r="AA77"/>
  <c r="AX78"/>
  <c r="AY78"/>
  <c r="AX80"/>
  <c r="AZ80" s="1"/>
  <c r="AY80"/>
  <c r="AX82"/>
  <c r="AZ82" s="1"/>
  <c r="AY82"/>
  <c r="AW83"/>
  <c r="R83" s="1"/>
  <c r="AX84"/>
  <c r="AZ84" s="1"/>
  <c r="AW85"/>
  <c r="R85" s="1"/>
  <c r="AX85" s="1"/>
  <c r="AZ85" s="1"/>
  <c r="R87"/>
  <c r="AX87" s="1"/>
  <c r="AZ87" s="1"/>
  <c r="R91"/>
  <c r="AX91" s="1"/>
  <c r="AZ91" s="1"/>
  <c r="R93"/>
  <c r="AX93" s="1"/>
  <c r="AZ93" s="1"/>
  <c r="R95"/>
  <c r="AX95" s="1"/>
  <c r="AZ95" s="1"/>
  <c r="AX96"/>
  <c r="AZ96" s="1"/>
  <c r="AX97"/>
  <c r="AZ97" s="1"/>
  <c r="AW98"/>
  <c r="R98" s="1"/>
  <c r="AX98" s="1"/>
  <c r="AZ98" s="1"/>
  <c r="R99"/>
  <c r="AX99" s="1"/>
  <c r="AZ99" s="1"/>
  <c r="AX100"/>
  <c r="AZ100" s="1"/>
  <c r="AX101"/>
  <c r="AZ101" s="1"/>
  <c r="AW102"/>
  <c r="R102" s="1"/>
  <c r="AX102" s="1"/>
  <c r="AZ102" s="1"/>
  <c r="R103"/>
  <c r="AX103" s="1"/>
  <c r="AZ103" s="1"/>
  <c r="AX104"/>
  <c r="AZ104" s="1"/>
  <c r="AX105"/>
  <c r="AZ105" s="1"/>
  <c r="AW106"/>
  <c r="R106" s="1"/>
  <c r="AX106" s="1"/>
  <c r="AZ106" s="1"/>
  <c r="AW107"/>
  <c r="R107" s="1"/>
  <c r="AX107" s="1"/>
  <c r="AZ107" s="1"/>
  <c r="AW108"/>
  <c r="R108" s="1"/>
  <c r="AX108" s="1"/>
  <c r="AZ108" s="1"/>
  <c r="AW109"/>
  <c r="R109" s="1"/>
  <c r="AX109" s="1"/>
  <c r="AZ109" s="1"/>
  <c r="AW110"/>
  <c r="R110" s="1"/>
  <c r="AX110" s="1"/>
  <c r="AZ110" s="1"/>
  <c r="AW111"/>
  <c r="R111" s="1"/>
  <c r="AX111" s="1"/>
  <c r="AZ111" s="1"/>
  <c r="AW112"/>
  <c r="R112" s="1"/>
  <c r="AX112" s="1"/>
  <c r="AZ112" s="1"/>
  <c r="AW113"/>
  <c r="R113" s="1"/>
  <c r="AX113" s="1"/>
  <c r="AZ113" s="1"/>
  <c r="AW114"/>
  <c r="R114" s="1"/>
  <c r="AX114" s="1"/>
  <c r="AZ114" s="1"/>
  <c r="AW115"/>
  <c r="R115" s="1"/>
  <c r="AX115" s="1"/>
  <c r="AZ115" s="1"/>
  <c r="AW116"/>
  <c r="R116" s="1"/>
  <c r="AX116" s="1"/>
  <c r="AZ116" s="1"/>
  <c r="R117"/>
  <c r="AX117" s="1"/>
  <c r="AZ117" s="1"/>
  <c r="AW118"/>
  <c r="R118" s="1"/>
  <c r="AX118" s="1"/>
  <c r="AZ118" s="1"/>
  <c r="AW120"/>
  <c r="R120" s="1"/>
  <c r="AX120" s="1"/>
  <c r="AZ120" s="1"/>
  <c r="R121"/>
  <c r="AX121" s="1"/>
  <c r="AZ121" s="1"/>
  <c r="AW122"/>
  <c r="R122" s="1"/>
  <c r="AX122" s="1"/>
  <c r="AZ122" s="1"/>
  <c r="AW124"/>
  <c r="R124" s="1"/>
  <c r="AX124" s="1"/>
  <c r="AZ124" s="1"/>
  <c r="L18" i="2"/>
  <c r="P49" i="4"/>
  <c r="R18"/>
  <c r="S18" s="1"/>
  <c r="Q49"/>
  <c r="R33"/>
  <c r="S33" s="1"/>
  <c r="M11"/>
  <c r="P18" i="2"/>
  <c r="Q18"/>
  <c r="AY125" i="5" l="1"/>
  <c r="AG125"/>
  <c r="Q30"/>
  <c r="Q14"/>
  <c r="Q51"/>
  <c r="Q45"/>
  <c r="Q42"/>
  <c r="Q34"/>
  <c r="N126"/>
  <c r="O8" i="3"/>
  <c r="W11"/>
  <c r="AY73" i="5"/>
  <c r="AW73"/>
  <c r="AY71"/>
  <c r="AW71"/>
  <c r="AY67"/>
  <c r="AW67"/>
  <c r="AY61"/>
  <c r="AW61"/>
  <c r="AY57"/>
  <c r="AW57"/>
  <c r="AY11"/>
  <c r="AW11"/>
  <c r="R11" s="1"/>
  <c r="AX11" s="1"/>
  <c r="AZ11" s="1"/>
  <c r="AY72"/>
  <c r="AW72"/>
  <c r="AY69"/>
  <c r="AW69"/>
  <c r="AY64"/>
  <c r="AW64"/>
  <c r="AY59"/>
  <c r="AW59"/>
  <c r="AY53"/>
  <c r="AW53"/>
  <c r="R53" s="1"/>
  <c r="AX53" s="1"/>
  <c r="AZ53" s="1"/>
  <c r="AY74"/>
  <c r="AW74"/>
  <c r="P68"/>
  <c r="Q68" s="1"/>
  <c r="P65"/>
  <c r="Q65" s="1"/>
  <c r="P62"/>
  <c r="Q62" s="1"/>
  <c r="P58"/>
  <c r="Q58" s="1"/>
  <c r="P55"/>
  <c r="Q55" s="1"/>
  <c r="AY52"/>
  <c r="AW52"/>
  <c r="AW94"/>
  <c r="AW92"/>
  <c r="AW90"/>
  <c r="AW86"/>
  <c r="AW125" s="1"/>
  <c r="P23"/>
  <c r="Q23" s="1"/>
  <c r="P19"/>
  <c r="Q19" s="1"/>
  <c r="P17"/>
  <c r="Q17" s="1"/>
  <c r="P15"/>
  <c r="Q15" s="1"/>
  <c r="P10"/>
  <c r="Q10" s="1"/>
  <c r="P8"/>
  <c r="Q8" s="1"/>
  <c r="AX83"/>
  <c r="AZ83" s="1"/>
  <c r="AZ78"/>
  <c r="P75"/>
  <c r="Q75" s="1"/>
  <c r="P70"/>
  <c r="Q70" s="1"/>
  <c r="P66"/>
  <c r="Q66" s="1"/>
  <c r="P63"/>
  <c r="Q63" s="1"/>
  <c r="P60"/>
  <c r="Q60" s="1"/>
  <c r="P56"/>
  <c r="Q56" s="1"/>
  <c r="P54"/>
  <c r="Q54" s="1"/>
  <c r="P21"/>
  <c r="Q21" s="1"/>
  <c r="P18"/>
  <c r="Q18" s="1"/>
  <c r="P16"/>
  <c r="Q16" s="1"/>
  <c r="P13"/>
  <c r="Q13" s="1"/>
  <c r="P12"/>
  <c r="Q12" s="1"/>
  <c r="P9"/>
  <c r="Q9" s="1"/>
  <c r="O77"/>
  <c r="O126" s="1"/>
  <c r="P7"/>
  <c r="AY49"/>
  <c r="AW49"/>
  <c r="AY48"/>
  <c r="AW48"/>
  <c r="R48" s="1"/>
  <c r="AX48"/>
  <c r="AZ48" s="1"/>
  <c r="AY47"/>
  <c r="AW47"/>
  <c r="AY46"/>
  <c r="AW46"/>
  <c r="AY44"/>
  <c r="AW44"/>
  <c r="AY40"/>
  <c r="AW40"/>
  <c r="AY39"/>
  <c r="AW39"/>
  <c r="AY38"/>
  <c r="AW38"/>
  <c r="R38" s="1"/>
  <c r="AX38" s="1"/>
  <c r="AZ38" s="1"/>
  <c r="AY37"/>
  <c r="AW37"/>
  <c r="AY36"/>
  <c r="AW36"/>
  <c r="AY35"/>
  <c r="AW35"/>
  <c r="AY33"/>
  <c r="AW33"/>
  <c r="AY32"/>
  <c r="AW32"/>
  <c r="AY29"/>
  <c r="AW29"/>
  <c r="AY28"/>
  <c r="AW28"/>
  <c r="AY27"/>
  <c r="AW27"/>
  <c r="R27" s="1"/>
  <c r="AX27" s="1"/>
  <c r="AZ27" s="1"/>
  <c r="AY26"/>
  <c r="AW26"/>
  <c r="AY25"/>
  <c r="AW25"/>
  <c r="AY24"/>
  <c r="AW24"/>
  <c r="AY76"/>
  <c r="AW76"/>
  <c r="R76" s="1"/>
  <c r="AX76" s="1"/>
  <c r="AZ76" s="1"/>
  <c r="AY51"/>
  <c r="AW51"/>
  <c r="AY50"/>
  <c r="AW50"/>
  <c r="AY45"/>
  <c r="AW45"/>
  <c r="AY43"/>
  <c r="AW43"/>
  <c r="AY42"/>
  <c r="AW42"/>
  <c r="AY41"/>
  <c r="AW41"/>
  <c r="AY34"/>
  <c r="AW34"/>
  <c r="AY31"/>
  <c r="AW31"/>
  <c r="R31" s="1"/>
  <c r="AX31"/>
  <c r="AZ31" s="1"/>
  <c r="AY30"/>
  <c r="AW30"/>
  <c r="AY22"/>
  <c r="AW22"/>
  <c r="AY20"/>
  <c r="AW20"/>
  <c r="AY14"/>
  <c r="AW14"/>
  <c r="R14" s="1"/>
  <c r="AX14" s="1"/>
  <c r="AZ14" s="1"/>
  <c r="R94"/>
  <c r="AX94" s="1"/>
  <c r="AZ94" s="1"/>
  <c r="R92"/>
  <c r="AX92" s="1"/>
  <c r="AZ92" s="1"/>
  <c r="R90"/>
  <c r="AX90" s="1"/>
  <c r="AZ90" s="1"/>
  <c r="AG126"/>
  <c r="M49" i="4"/>
  <c r="N49" s="1"/>
  <c r="N11"/>
  <c r="O11" s="1"/>
  <c r="M18" i="2"/>
  <c r="N18" s="1"/>
  <c r="R20" i="5" l="1"/>
  <c r="AX20" s="1"/>
  <c r="AZ20" s="1"/>
  <c r="R34"/>
  <c r="AX34" s="1"/>
  <c r="AZ34" s="1"/>
  <c r="R41"/>
  <c r="AX41" s="1"/>
  <c r="AZ41" s="1"/>
  <c r="R42"/>
  <c r="AX42" s="1"/>
  <c r="AZ42" s="1"/>
  <c r="R43"/>
  <c r="AX43" s="1"/>
  <c r="AZ43" s="1"/>
  <c r="R45"/>
  <c r="AX45" s="1"/>
  <c r="AZ45" s="1"/>
  <c r="R50"/>
  <c r="AX50" s="1"/>
  <c r="AZ50" s="1"/>
  <c r="R51"/>
  <c r="AX51" s="1"/>
  <c r="AZ51" s="1"/>
  <c r="R28"/>
  <c r="AX28" s="1"/>
  <c r="AZ28" s="1"/>
  <c r="R29"/>
  <c r="AX29" s="1"/>
  <c r="AZ29" s="1"/>
  <c r="R32"/>
  <c r="AX32" s="1"/>
  <c r="AZ32" s="1"/>
  <c r="R33"/>
  <c r="AX33" s="1"/>
  <c r="AZ33" s="1"/>
  <c r="R35"/>
  <c r="AX35" s="1"/>
  <c r="AZ35" s="1"/>
  <c r="R36"/>
  <c r="AX36" s="1"/>
  <c r="AZ36" s="1"/>
  <c r="R37"/>
  <c r="AX37" s="1"/>
  <c r="AZ37" s="1"/>
  <c r="R49"/>
  <c r="AX49" s="1"/>
  <c r="AZ49" s="1"/>
  <c r="R74"/>
  <c r="AX74" s="1"/>
  <c r="AZ74" s="1"/>
  <c r="R57"/>
  <c r="AX57" s="1"/>
  <c r="AZ57" s="1"/>
  <c r="R61"/>
  <c r="AX61" s="1"/>
  <c r="AZ61" s="1"/>
  <c r="R67"/>
  <c r="AX67" s="1"/>
  <c r="AZ67" s="1"/>
  <c r="R71"/>
  <c r="AX71" s="1"/>
  <c r="AZ71" s="1"/>
  <c r="R73"/>
  <c r="AX73" s="1"/>
  <c r="AZ73" s="1"/>
  <c r="R22"/>
  <c r="AX22" s="1"/>
  <c r="AZ22" s="1"/>
  <c r="R30"/>
  <c r="AX30" s="1"/>
  <c r="AZ30" s="1"/>
  <c r="R24"/>
  <c r="AX24" s="1"/>
  <c r="AZ24" s="1"/>
  <c r="R25"/>
  <c r="AX25" s="1"/>
  <c r="AZ25" s="1"/>
  <c r="R26"/>
  <c r="AX26" s="1"/>
  <c r="AZ26" s="1"/>
  <c r="R39"/>
  <c r="AX39" s="1"/>
  <c r="AZ39" s="1"/>
  <c r="R40"/>
  <c r="AX40" s="1"/>
  <c r="AZ40" s="1"/>
  <c r="R44"/>
  <c r="AX44" s="1"/>
  <c r="AZ44" s="1"/>
  <c r="R46"/>
  <c r="AX46" s="1"/>
  <c r="AZ46" s="1"/>
  <c r="R47"/>
  <c r="AX47" s="1"/>
  <c r="AZ47" s="1"/>
  <c r="R52"/>
  <c r="AX52" s="1"/>
  <c r="AZ52" s="1"/>
  <c r="R59"/>
  <c r="AX59" s="1"/>
  <c r="AZ59" s="1"/>
  <c r="R64"/>
  <c r="AX64" s="1"/>
  <c r="AZ64" s="1"/>
  <c r="R69"/>
  <c r="AX69" s="1"/>
  <c r="AZ69" s="1"/>
  <c r="R72"/>
  <c r="AX72" s="1"/>
  <c r="AZ72" s="1"/>
  <c r="P77"/>
  <c r="P126" s="1"/>
  <c r="O11" i="3"/>
  <c r="X8"/>
  <c r="AY10" i="5"/>
  <c r="AW10"/>
  <c r="AY17"/>
  <c r="AW17"/>
  <c r="AY23"/>
  <c r="AW23"/>
  <c r="AY58"/>
  <c r="AW58"/>
  <c r="AY65"/>
  <c r="AW65"/>
  <c r="AY15"/>
  <c r="AW15"/>
  <c r="AY19"/>
  <c r="AW19"/>
  <c r="AY55"/>
  <c r="AW55"/>
  <c r="AY62"/>
  <c r="AW62"/>
  <c r="R62" s="1"/>
  <c r="AX62" s="1"/>
  <c r="AZ62" s="1"/>
  <c r="AY68"/>
  <c r="AW68"/>
  <c r="Q7"/>
  <c r="AY9"/>
  <c r="AW9"/>
  <c r="AY12"/>
  <c r="AW12"/>
  <c r="AY13"/>
  <c r="AW13"/>
  <c r="AY16"/>
  <c r="AW16"/>
  <c r="AY18"/>
  <c r="AW18"/>
  <c r="AY21"/>
  <c r="AW21"/>
  <c r="AY54"/>
  <c r="AW54"/>
  <c r="AY56"/>
  <c r="AW56"/>
  <c r="AY60"/>
  <c r="AW60"/>
  <c r="AY63"/>
  <c r="AW63"/>
  <c r="AY66"/>
  <c r="AW66"/>
  <c r="AY70"/>
  <c r="AW70"/>
  <c r="AY75"/>
  <c r="AW75"/>
  <c r="AY8"/>
  <c r="AW8"/>
  <c r="R8" s="1"/>
  <c r="AX8" s="1"/>
  <c r="AZ8" s="1"/>
  <c r="R86"/>
  <c r="R125" s="1"/>
  <c r="O49" i="4"/>
  <c r="R49" s="1"/>
  <c r="S49" s="1"/>
  <c r="R11"/>
  <c r="S11" s="1"/>
  <c r="O18" i="2"/>
  <c r="R18" s="1"/>
  <c r="S18" s="1"/>
  <c r="R68" i="5" l="1"/>
  <c r="AX68" s="1"/>
  <c r="AZ68" s="1"/>
  <c r="R75"/>
  <c r="AX75" s="1"/>
  <c r="AZ75" s="1"/>
  <c r="R70"/>
  <c r="AX70" s="1"/>
  <c r="AZ70" s="1"/>
  <c r="R66"/>
  <c r="AX66" s="1"/>
  <c r="AZ66" s="1"/>
  <c r="R63"/>
  <c r="AX63" s="1"/>
  <c r="AZ63" s="1"/>
  <c r="R60"/>
  <c r="AX60" s="1"/>
  <c r="AZ60" s="1"/>
  <c r="R56"/>
  <c r="AX56" s="1"/>
  <c r="AZ56" s="1"/>
  <c r="R54"/>
  <c r="AX54" s="1"/>
  <c r="AZ54" s="1"/>
  <c r="R21"/>
  <c r="AX21" s="1"/>
  <c r="AZ21" s="1"/>
  <c r="R18"/>
  <c r="AX18" s="1"/>
  <c r="AZ18" s="1"/>
  <c r="R16"/>
  <c r="AX16" s="1"/>
  <c r="AZ16" s="1"/>
  <c r="R13"/>
  <c r="AX13" s="1"/>
  <c r="AZ13" s="1"/>
  <c r="R12"/>
  <c r="AX12" s="1"/>
  <c r="AZ12" s="1"/>
  <c r="R9"/>
  <c r="AX9" s="1"/>
  <c r="AZ9" s="1"/>
  <c r="R55"/>
  <c r="AX55" s="1"/>
  <c r="AZ55" s="1"/>
  <c r="R19"/>
  <c r="AX19" s="1"/>
  <c r="AZ19" s="1"/>
  <c r="R15"/>
  <c r="AX15" s="1"/>
  <c r="AZ15" s="1"/>
  <c r="R65"/>
  <c r="AX65" s="1"/>
  <c r="AZ65" s="1"/>
  <c r="R58"/>
  <c r="AX58" s="1"/>
  <c r="AZ58" s="1"/>
  <c r="R23"/>
  <c r="AX23" s="1"/>
  <c r="AZ23" s="1"/>
  <c r="R17"/>
  <c r="AX17" s="1"/>
  <c r="AZ17" s="1"/>
  <c r="R10"/>
  <c r="AX10" s="1"/>
  <c r="AZ10" s="1"/>
  <c r="X11" i="3"/>
  <c r="AY7" i="5"/>
  <c r="AY77" s="1"/>
  <c r="AY126" s="1"/>
  <c r="AW7"/>
  <c r="R7" s="1"/>
  <c r="Q77"/>
  <c r="Q126" s="1"/>
  <c r="AX86"/>
  <c r="AX125" s="1"/>
  <c r="AZ125" s="1"/>
  <c r="AZ86" l="1"/>
  <c r="AW77"/>
  <c r="AW126" l="1"/>
  <c r="R77"/>
  <c r="R126" s="1"/>
  <c r="AX7"/>
  <c r="AZ7" l="1"/>
  <c r="AX77"/>
  <c r="AX126" s="1"/>
  <c r="AZ77"/>
  <c r="AZ126" s="1"/>
  <c r="AT18" i="1" l="1"/>
  <c r="AI18"/>
  <c r="S18"/>
  <c r="AK18"/>
  <c r="AE18"/>
  <c r="AO18"/>
  <c r="AU17"/>
  <c r="AU16"/>
  <c r="AU15"/>
  <c r="AU14"/>
  <c r="AU13"/>
  <c r="AU12"/>
  <c r="AU11"/>
  <c r="AU10"/>
  <c r="AU9"/>
  <c r="AU8"/>
  <c r="AU7"/>
  <c r="N16"/>
  <c r="N10"/>
  <c r="N17"/>
  <c r="N15"/>
  <c r="N14"/>
  <c r="N13"/>
  <c r="N12"/>
  <c r="N11"/>
  <c r="M17"/>
  <c r="M16"/>
  <c r="M15"/>
  <c r="M14"/>
  <c r="M13"/>
  <c r="M12"/>
  <c r="M11"/>
  <c r="M10"/>
  <c r="H18"/>
  <c r="O16" l="1"/>
  <c r="P16" s="1"/>
  <c r="N18"/>
  <c r="AM18"/>
  <c r="O11"/>
  <c r="M18"/>
  <c r="O10"/>
  <c r="T18"/>
  <c r="Y18"/>
  <c r="AA18"/>
  <c r="AU18"/>
  <c r="O12"/>
  <c r="P12" s="1"/>
  <c r="Q12" s="1"/>
  <c r="O13"/>
  <c r="P13" s="1"/>
  <c r="Q13" s="1"/>
  <c r="O14"/>
  <c r="P14" s="1"/>
  <c r="Q14" s="1"/>
  <c r="O15"/>
  <c r="P15" s="1"/>
  <c r="Q15" s="1"/>
  <c r="O17"/>
  <c r="P17" s="1"/>
  <c r="Q17" s="1"/>
  <c r="W18"/>
  <c r="P11"/>
  <c r="Q11" s="1"/>
  <c r="Q16"/>
  <c r="P10"/>
  <c r="Q10" s="1"/>
  <c r="AW6"/>
  <c r="AX6" s="1"/>
  <c r="AC6"/>
  <c r="AD6" s="1"/>
  <c r="AE6" s="1"/>
  <c r="AI6" s="1"/>
  <c r="AJ6" s="1"/>
  <c r="AK6" s="1"/>
  <c r="AY10" l="1"/>
  <c r="AW10"/>
  <c r="R10" s="1"/>
  <c r="AX10" s="1"/>
  <c r="AZ10" s="1"/>
  <c r="AY17"/>
  <c r="AW17"/>
  <c r="R17" s="1"/>
  <c r="AX17" s="1"/>
  <c r="AZ17" s="1"/>
  <c r="AY11"/>
  <c r="AW11"/>
  <c r="R11" s="1"/>
  <c r="AX11" s="1"/>
  <c r="AZ11" s="1"/>
  <c r="AY8"/>
  <c r="AW8"/>
  <c r="P18"/>
  <c r="AY14"/>
  <c r="AW14"/>
  <c r="R14" s="1"/>
  <c r="AX14" s="1"/>
  <c r="AZ14" s="1"/>
  <c r="AY12"/>
  <c r="AW12"/>
  <c r="R12" s="1"/>
  <c r="AX12" s="1"/>
  <c r="AZ12" s="1"/>
  <c r="AY16"/>
  <c r="AW16"/>
  <c r="R16" s="1"/>
  <c r="AX16" s="1"/>
  <c r="AZ16" s="1"/>
  <c r="AY9"/>
  <c r="AW9"/>
  <c r="AY7"/>
  <c r="AW7"/>
  <c r="AY15"/>
  <c r="AW15"/>
  <c r="R15" s="1"/>
  <c r="AX15" s="1"/>
  <c r="AZ15" s="1"/>
  <c r="AY13"/>
  <c r="AW13"/>
  <c r="R13" s="1"/>
  <c r="AX13" s="1"/>
  <c r="AZ13" s="1"/>
  <c r="O18"/>
  <c r="AX9" l="1"/>
  <c r="AZ9" s="1"/>
  <c r="R9"/>
  <c r="AX7"/>
  <c r="AZ7" s="1"/>
  <c r="R7"/>
  <c r="AX8"/>
  <c r="AZ8" s="1"/>
  <c r="R8"/>
  <c r="AY18"/>
  <c r="Q18"/>
  <c r="AW18" l="1"/>
  <c r="R18" l="1"/>
  <c r="AZ18" l="1"/>
</calcChain>
</file>

<file path=xl/sharedStrings.xml><?xml version="1.0" encoding="utf-8"?>
<sst xmlns="http://schemas.openxmlformats.org/spreadsheetml/2006/main" count="1263" uniqueCount="415">
  <si>
    <t>р/с</t>
  </si>
  <si>
    <t>мүғалімнің аты жөні</t>
  </si>
  <si>
    <t>атқаратын қызметі</t>
  </si>
  <si>
    <t>білімі</t>
  </si>
  <si>
    <t>еңбек өтілі</t>
  </si>
  <si>
    <t>тізілімге сәйкес лауазымдық санаты</t>
  </si>
  <si>
    <t>Базалық лауазымдық жалақы</t>
  </si>
  <si>
    <t>Апталық  жүктеме</t>
  </si>
  <si>
    <t>мад жүктеме</t>
  </si>
  <si>
    <t>Штат саны</t>
  </si>
  <si>
    <t>коэфф</t>
  </si>
  <si>
    <t>лауазымдық коэфф</t>
  </si>
  <si>
    <t>лауазымдық жалақы</t>
  </si>
  <si>
    <t>25% өсім</t>
  </si>
  <si>
    <t>Ауылдық жерге жататын елді мекен үшін қосымша 25%</t>
  </si>
  <si>
    <t>Лауазымдық жалақы қосымшасымен (25%)</t>
  </si>
  <si>
    <t>Барлық қосымша ақылар мен үстеме ақылар</t>
  </si>
  <si>
    <t>Даму және оқу мүмкіндігі шектеулі балалармен жұмыс, үйден жеке оқыту</t>
  </si>
  <si>
    <t>Сынып жетекшілігіне</t>
  </si>
  <si>
    <t>үш тілдік</t>
  </si>
  <si>
    <t>Кабинет меңгерушілігіне</t>
  </si>
  <si>
    <t>дәптер  тексеруге</t>
  </si>
  <si>
    <t>Еңбек жағдайлары зиянды н/е қауіпті жұмысы үшін</t>
  </si>
  <si>
    <t>Түнгі уақыттағы  еңбекке</t>
  </si>
  <si>
    <t>магистр</t>
  </si>
  <si>
    <t>инклюзив</t>
  </si>
  <si>
    <t>тәлімгерлігі үшін</t>
  </si>
  <si>
    <t>30 % жанартылган</t>
  </si>
  <si>
    <t>Айлық  еңбекақы жиыны,  теңге</t>
  </si>
  <si>
    <t>Еңбек демалысына шыққанда төленетін сауықтыру жәрдемақысы</t>
  </si>
  <si>
    <t>Жылдық  еңбекақы  қоры,  теңге</t>
  </si>
  <si>
    <t>жүктеме</t>
  </si>
  <si>
    <t>ақшасы, теңге</t>
  </si>
  <si>
    <t>қосым-ша 30%</t>
  </si>
  <si>
    <t xml:space="preserve">қосым-ша   % </t>
  </si>
  <si>
    <t>ақшасы,  теңге</t>
  </si>
  <si>
    <t>қосым-ша  %</t>
  </si>
  <si>
    <t>ақшасы,   теңге</t>
  </si>
  <si>
    <t xml:space="preserve">қосым-ша  % </t>
  </si>
  <si>
    <t>қосым-ша   %</t>
  </si>
  <si>
    <t xml:space="preserve">инклюзив оқушы </t>
  </si>
  <si>
    <t>соммасы</t>
  </si>
  <si>
    <t>Барлығы:</t>
  </si>
  <si>
    <t>х</t>
  </si>
  <si>
    <t>Рахметуллина Н</t>
  </si>
  <si>
    <t>Муханбетжанова Ж</t>
  </si>
  <si>
    <t>Жардемова А</t>
  </si>
  <si>
    <t>Жумашева Г</t>
  </si>
  <si>
    <t>Аруева А</t>
  </si>
  <si>
    <t>Сапагулова М</t>
  </si>
  <si>
    <t>Саумекова Ж</t>
  </si>
  <si>
    <t>Оспан Ж</t>
  </si>
  <si>
    <t>Кагазгалиева А</t>
  </si>
  <si>
    <t>Кенжебаева М</t>
  </si>
  <si>
    <t>Молдагалиева А</t>
  </si>
  <si>
    <t>Шманова А</t>
  </si>
  <si>
    <t>Нурмуханов Н</t>
  </si>
  <si>
    <t>Таганакова А</t>
  </si>
  <si>
    <t>Қазымбек Н</t>
  </si>
  <si>
    <t>Кайрлиева Ж</t>
  </si>
  <si>
    <t>Масаева О</t>
  </si>
  <si>
    <t>Дуйсеалиева Г</t>
  </si>
  <si>
    <t>Умбетова Н</t>
  </si>
  <si>
    <t>Зинуллина С</t>
  </si>
  <si>
    <t>Тулеуова М</t>
  </si>
  <si>
    <t>Газизова Л</t>
  </si>
  <si>
    <t>Адилгалиева А</t>
  </si>
  <si>
    <t>Кабышев Н</t>
  </si>
  <si>
    <t>Искаирова А</t>
  </si>
  <si>
    <t>Гайнеденова Л</t>
  </si>
  <si>
    <t>Койшыгалиева Т</t>
  </si>
  <si>
    <t>Шамсутдинова Г</t>
  </si>
  <si>
    <t>Махметова Н</t>
  </si>
  <si>
    <t>Гумарова У</t>
  </si>
  <si>
    <t>Муфтуллаева С</t>
  </si>
  <si>
    <t>Жардемова К</t>
  </si>
  <si>
    <t>Төлеуова Г</t>
  </si>
  <si>
    <t>Каражанова Ж</t>
  </si>
  <si>
    <t>Сагиева Г</t>
  </si>
  <si>
    <t>Жумашева Б</t>
  </si>
  <si>
    <t>Каламкалиева Н</t>
  </si>
  <si>
    <t>Ибатов Э</t>
  </si>
  <si>
    <t>Баширова Э</t>
  </si>
  <si>
    <t>Қабышев Ы</t>
  </si>
  <si>
    <t>Тулепов М</t>
  </si>
  <si>
    <t>Фазылова А</t>
  </si>
  <si>
    <t>Сериков А</t>
  </si>
  <si>
    <t>Идеятов Н</t>
  </si>
  <si>
    <t>Жоламан Д</t>
  </si>
  <si>
    <t>Өтегенов Қ</t>
  </si>
  <si>
    <t>Есов Б</t>
  </si>
  <si>
    <t>Амангалиева К</t>
  </si>
  <si>
    <t>Шахманова А</t>
  </si>
  <si>
    <t>Куаншкалиева Л</t>
  </si>
  <si>
    <t>Карабалина Ж</t>
  </si>
  <si>
    <t>Уалиева Г</t>
  </si>
  <si>
    <t>Ахат С</t>
  </si>
  <si>
    <t>Нурмуханова А</t>
  </si>
  <si>
    <t>Сыдихова А</t>
  </si>
  <si>
    <t>Койбакова З</t>
  </si>
  <si>
    <t>Молдашева К</t>
  </si>
  <si>
    <t>Байдушова Б</t>
  </si>
  <si>
    <t>Умбеталина А</t>
  </si>
  <si>
    <t>Даулетова Р</t>
  </si>
  <si>
    <t>Даулетова К</t>
  </si>
  <si>
    <t>Алипова А</t>
  </si>
  <si>
    <t>Косымбаева Г</t>
  </si>
  <si>
    <t>Кыстаубаева А</t>
  </si>
  <si>
    <t>Мергенова М</t>
  </si>
  <si>
    <t>Алиева М</t>
  </si>
  <si>
    <t>Айтжанова Р</t>
  </si>
  <si>
    <t>Шурабаева Н</t>
  </si>
  <si>
    <t>тәлімгер</t>
  </si>
  <si>
    <t>қазақ тілі мұғалімі</t>
  </si>
  <si>
    <t>орыс тілі мұғалімі</t>
  </si>
  <si>
    <t>ағылшын мұғалімі</t>
  </si>
  <si>
    <t>физика мұғалімі</t>
  </si>
  <si>
    <t>информатика мұғалімі</t>
  </si>
  <si>
    <t>математика мұғалімі</t>
  </si>
  <si>
    <t>өзін өзі тану мұғалімі</t>
  </si>
  <si>
    <t>биология мұғалімі</t>
  </si>
  <si>
    <t>география мұғалімі</t>
  </si>
  <si>
    <t>тарих мұғалімі</t>
  </si>
  <si>
    <t>тарих,географ мұғалімі</t>
  </si>
  <si>
    <t>дене тәрбиесі мұғалімі</t>
  </si>
  <si>
    <t>АӘД мұғалімі</t>
  </si>
  <si>
    <t>саз мұғалімі</t>
  </si>
  <si>
    <t>бастауыш мұғалімі</t>
  </si>
  <si>
    <t>МАД тәрбиеші</t>
  </si>
  <si>
    <t>Шағын топ тәрбиеші</t>
  </si>
  <si>
    <t>психолог</t>
  </si>
  <si>
    <t>кітапхана меңгерушісі</t>
  </si>
  <si>
    <t>Itмаман</t>
  </si>
  <si>
    <t>мультимедия зертханашы</t>
  </si>
  <si>
    <t>оқу ісі орынб,физика мұғ</t>
  </si>
  <si>
    <t>тәрб ісі орынб,қазақ т мұғ</t>
  </si>
  <si>
    <t>тәрбие ісі орынб,хим зертх</t>
  </si>
  <si>
    <t>физика мүғі, физика зерт</t>
  </si>
  <si>
    <t>физик мұғал,физика  зертх</t>
  </si>
  <si>
    <t>информ мұғал,инф зертх</t>
  </si>
  <si>
    <t>биолог мұғал,биолог зертх</t>
  </si>
  <si>
    <t>химия мұғал,химия зертх</t>
  </si>
  <si>
    <t>технолог,көркем еңб мұғал</t>
  </si>
  <si>
    <t>Косымбаева Л</t>
  </si>
  <si>
    <t>Дуйсенгалиева К</t>
  </si>
  <si>
    <t>Есмагамбетова К</t>
  </si>
  <si>
    <t>Аубакирова В</t>
  </si>
  <si>
    <t>Тұрлан Ә</t>
  </si>
  <si>
    <t>Бисенгалиева А</t>
  </si>
  <si>
    <t>Утешев Е</t>
  </si>
  <si>
    <t>Утеуов Е</t>
  </si>
  <si>
    <t>Усеров К</t>
  </si>
  <si>
    <t>Бисалиев С</t>
  </si>
  <si>
    <t>Туленов А</t>
  </si>
  <si>
    <t>Сакипов Е</t>
  </si>
  <si>
    <t>Даулетов Н</t>
  </si>
  <si>
    <t>Жаксыбаева Г</t>
  </si>
  <si>
    <t>Усенгалиева О</t>
  </si>
  <si>
    <t>Магзомова Г</t>
  </si>
  <si>
    <t>Напихова Э</t>
  </si>
  <si>
    <t>Баксиыков А</t>
  </si>
  <si>
    <t>Султангалиева Н</t>
  </si>
  <si>
    <t>Нигметова Н</t>
  </si>
  <si>
    <t>Спашева С</t>
  </si>
  <si>
    <t>Асанова Р</t>
  </si>
  <si>
    <t>Есжанова К</t>
  </si>
  <si>
    <t>Туленова А</t>
  </si>
  <si>
    <t>Умбетиярова Ж</t>
  </si>
  <si>
    <t>Сундетова С</t>
  </si>
  <si>
    <t>Уликпанова Ж</t>
  </si>
  <si>
    <t>Сариева Г</t>
  </si>
  <si>
    <t>Сагиева Ж</t>
  </si>
  <si>
    <t>Ибрашева М</t>
  </si>
  <si>
    <t>Ахмедова А</t>
  </si>
  <si>
    <t>Бисенова Д</t>
  </si>
  <si>
    <t>Салыхова Ж</t>
  </si>
  <si>
    <t>Вакант</t>
  </si>
  <si>
    <t>директор</t>
  </si>
  <si>
    <t>әлеуметтік педагог</t>
  </si>
  <si>
    <t>Есепші</t>
  </si>
  <si>
    <t>Хатшы</t>
  </si>
  <si>
    <t>іс қағаздарын жүргізуші</t>
  </si>
  <si>
    <t>Тәрб.көмекшісі 0,5ст</t>
  </si>
  <si>
    <t>Күзетші</t>
  </si>
  <si>
    <t>Аула тазалаушы</t>
  </si>
  <si>
    <t>Еден жуушы</t>
  </si>
  <si>
    <t>Жұмысшы</t>
  </si>
  <si>
    <t>Вахтер</t>
  </si>
  <si>
    <t>Киім ілуші</t>
  </si>
  <si>
    <t>Оператор</t>
  </si>
  <si>
    <t>Дирек. шаруа.жөн.орынб</t>
  </si>
  <si>
    <t>жоғары</t>
  </si>
  <si>
    <t>арн орта</t>
  </si>
  <si>
    <t>арн.орта</t>
  </si>
  <si>
    <t>орт кәсіп</t>
  </si>
  <si>
    <t>орта</t>
  </si>
  <si>
    <t>29-0</t>
  </si>
  <si>
    <t>27-0</t>
  </si>
  <si>
    <t>24-0</t>
  </si>
  <si>
    <t>14-8</t>
  </si>
  <si>
    <t>10-8</t>
  </si>
  <si>
    <t>26-0</t>
  </si>
  <si>
    <t>20-11</t>
  </si>
  <si>
    <t>6-0</t>
  </si>
  <si>
    <t>35-0</t>
  </si>
  <si>
    <t>31-0</t>
  </si>
  <si>
    <t>36-0</t>
  </si>
  <si>
    <t>18-0</t>
  </si>
  <si>
    <t>7-0</t>
  </si>
  <si>
    <t>19-8</t>
  </si>
  <si>
    <t>18-11</t>
  </si>
  <si>
    <t>4-0</t>
  </si>
  <si>
    <t>9-9</t>
  </si>
  <si>
    <t>0-11</t>
  </si>
  <si>
    <t>12-7</t>
  </si>
  <si>
    <t>19-0</t>
  </si>
  <si>
    <t>7-11</t>
  </si>
  <si>
    <t>28-0</t>
  </si>
  <si>
    <t>13-8</t>
  </si>
  <si>
    <t>34-0</t>
  </si>
  <si>
    <t>21-8</t>
  </si>
  <si>
    <t>2-0</t>
  </si>
  <si>
    <t>10-0</t>
  </si>
  <si>
    <t>23-0</t>
  </si>
  <si>
    <t>5-0</t>
  </si>
  <si>
    <t>8-5</t>
  </si>
  <si>
    <t>17-0</t>
  </si>
  <si>
    <t>0-1</t>
  </si>
  <si>
    <t>8-0</t>
  </si>
  <si>
    <t>3-0</t>
  </si>
  <si>
    <t>1-0</t>
  </si>
  <si>
    <t>31-10</t>
  </si>
  <si>
    <t>33-0</t>
  </si>
  <si>
    <t>16-0</t>
  </si>
  <si>
    <t>20-0</t>
  </si>
  <si>
    <t>26-9</t>
  </si>
  <si>
    <t>37-0</t>
  </si>
  <si>
    <t>39-0</t>
  </si>
  <si>
    <t>16-1</t>
  </si>
  <si>
    <t>38-0</t>
  </si>
  <si>
    <t>9-7</t>
  </si>
  <si>
    <t>3-11</t>
  </si>
  <si>
    <t>25-0</t>
  </si>
  <si>
    <t>А1-3-1,В2-2</t>
  </si>
  <si>
    <t>А1-3-1,В2-1</t>
  </si>
  <si>
    <t>А1-3-1,В3-4</t>
  </si>
  <si>
    <t>В3-4</t>
  </si>
  <si>
    <t>В2-2</t>
  </si>
  <si>
    <t>В2-1</t>
  </si>
  <si>
    <t>В2-3</t>
  </si>
  <si>
    <t>В2-4</t>
  </si>
  <si>
    <t>В3-4,В2-3</t>
  </si>
  <si>
    <t>В3-4,В2-2</t>
  </si>
  <si>
    <t>В3-4,В2-4</t>
  </si>
  <si>
    <t>В2-3,В2-4</t>
  </si>
  <si>
    <t>В4-3</t>
  </si>
  <si>
    <t>В4-4</t>
  </si>
  <si>
    <t>В4-2</t>
  </si>
  <si>
    <t>В3-3</t>
  </si>
  <si>
    <t>С1</t>
  </si>
  <si>
    <t>С2</t>
  </si>
  <si>
    <t>А1-3</t>
  </si>
  <si>
    <t>химия зертханашы</t>
  </si>
  <si>
    <t>Назарбаев</t>
  </si>
  <si>
    <t>5-5</t>
  </si>
  <si>
    <t>23-6</t>
  </si>
  <si>
    <t>28-8</t>
  </si>
  <si>
    <t>6-9</t>
  </si>
  <si>
    <t>15-0</t>
  </si>
  <si>
    <t>33-8</t>
  </si>
  <si>
    <t>2-6</t>
  </si>
  <si>
    <t>2-7</t>
  </si>
  <si>
    <t>5-6</t>
  </si>
  <si>
    <t>7-10</t>
  </si>
  <si>
    <t>12-9</t>
  </si>
  <si>
    <t>3-2</t>
  </si>
  <si>
    <t>22-0</t>
  </si>
  <si>
    <t>5-11</t>
  </si>
  <si>
    <t>13-0</t>
  </si>
  <si>
    <t>5-8</t>
  </si>
  <si>
    <t>30-1</t>
  </si>
  <si>
    <t>28-1</t>
  </si>
  <si>
    <t>2-10</t>
  </si>
  <si>
    <t>А2-3</t>
  </si>
  <si>
    <t>D1</t>
  </si>
  <si>
    <t>R-4</t>
  </si>
  <si>
    <t>R-3</t>
  </si>
  <si>
    <t>R-2</t>
  </si>
  <si>
    <t>R-1</t>
  </si>
  <si>
    <t>Сатбергенова А</t>
  </si>
  <si>
    <t>Жиыны мұғалімдер:</t>
  </si>
  <si>
    <t>"Бекітемін"</t>
  </si>
  <si>
    <t>Аудандық білім, дене шынықтыру және спорт</t>
  </si>
  <si>
    <t>бөлімінің басшысы:</t>
  </si>
  <si>
    <t>Индер аудандық білім, дене шынықтыру және спорт бөлімінің Қ.Абаханов атындағы орта мектебі коммуналдық мемлекеттік мекемесі бойынша 01.09.2020 жылғы есептелген тарифтік кестесі</t>
  </si>
  <si>
    <t>Білім беру бағдарламаларын іске асыратын ұлттық  біліктілік тестінен  өткен  бастауыш, негізгі және жалпы орта білім беретін мұғалімдерге</t>
  </si>
  <si>
    <t>№</t>
  </si>
  <si>
    <t>Аты, жөні</t>
  </si>
  <si>
    <t>Атқаратын қызметі,пәні</t>
  </si>
  <si>
    <t>Білімі</t>
  </si>
  <si>
    <t>санаты</t>
  </si>
  <si>
    <t>Тізілімге сәйкес лауазымдар санаты</t>
  </si>
  <si>
    <t>Жалпы сағат саны</t>
  </si>
  <si>
    <t>Лауазымдық жалақы есептеуге арналған коэффициенттер</t>
  </si>
  <si>
    <t>түзетілген коэфицентпен</t>
  </si>
  <si>
    <t>педагог-зерттеуші 40%қосымша</t>
  </si>
  <si>
    <t>педагог-сарапшы 35%қосымша</t>
  </si>
  <si>
    <t>педагог-модератор 30%қосымша</t>
  </si>
  <si>
    <t>орыс тілі әдеб мұғалімі</t>
  </si>
  <si>
    <t>педагог-зерттеуші</t>
  </si>
  <si>
    <t xml:space="preserve"> В2-1</t>
  </si>
  <si>
    <t>қазақ тілі әдеб мұғалімі</t>
  </si>
  <si>
    <t>денешынық мұғалімі</t>
  </si>
  <si>
    <t>ағылшын тілі  мұғалімі</t>
  </si>
  <si>
    <t>педагог-сарапшы</t>
  </si>
  <si>
    <t xml:space="preserve"> В2-2</t>
  </si>
  <si>
    <t xml:space="preserve">Нурмуханова А </t>
  </si>
  <si>
    <t>информ пәні мұғалімі</t>
  </si>
  <si>
    <t>физика пәні мұғалімі</t>
  </si>
  <si>
    <t>Қойшығалиева Т</t>
  </si>
  <si>
    <t>Байдушева Б</t>
  </si>
  <si>
    <t xml:space="preserve">В2-2                             </t>
  </si>
  <si>
    <t>педагог-модератор</t>
  </si>
  <si>
    <t>химия мұғалімі</t>
  </si>
  <si>
    <t>Қағазғалиева А</t>
  </si>
  <si>
    <t>ағылшын тілі мұғалімі</t>
  </si>
  <si>
    <t>саз пәні мұғалімі</t>
  </si>
  <si>
    <t xml:space="preserve">Мектеп директорының м.а.:                     </t>
  </si>
  <si>
    <t>Н.Рахметуллина</t>
  </si>
  <si>
    <t>К.Дуйсенгалиева</t>
  </si>
  <si>
    <t>Индер аудандық білім ,денешынықтыру және спорт бөлімінің басшысы:                        О.Дилмукашева</t>
  </si>
  <si>
    <t>информат мұғалімі</t>
  </si>
  <si>
    <t>Қазақстандық салалық білім және ғылым қызметкерлері кәсіптік одағының</t>
  </si>
  <si>
    <t>Атырау облыстық Индер аудандық комитетінің төрағасы:                          Қ.Ахметова</t>
  </si>
  <si>
    <t xml:space="preserve">               Н.Рахметуллина</t>
  </si>
  <si>
    <t>соц налог</t>
  </si>
  <si>
    <t>соц отчисление</t>
  </si>
  <si>
    <t>Аудандық білім бөлімінің бас маманы:                              А.Жалмуханова</t>
  </si>
  <si>
    <t xml:space="preserve">                                                 Аудандық білім бөлімінің бас экономисі:                              А.Ануарова</t>
  </si>
  <si>
    <t>Атқаратын қызметі</t>
  </si>
  <si>
    <t>Сынып  жетекшілігіне</t>
  </si>
  <si>
    <t xml:space="preserve"> лауазымдық жалақыға қосымша</t>
  </si>
  <si>
    <t>Айлық  еңбекақы жиыны,  теңге01.09.19ға</t>
  </si>
  <si>
    <t xml:space="preserve">қосымша   % </t>
  </si>
  <si>
    <t xml:space="preserve">қосымша  % </t>
  </si>
  <si>
    <t>қосымша  %</t>
  </si>
  <si>
    <t>қосымша 10%</t>
  </si>
  <si>
    <t>Тәрбиеші</t>
  </si>
  <si>
    <t>арнаулы орта</t>
  </si>
  <si>
    <t>11-8</t>
  </si>
  <si>
    <t>Сагинова А</t>
  </si>
  <si>
    <t>6-10</t>
  </si>
  <si>
    <t>Султангалиева А</t>
  </si>
  <si>
    <t>тәрб көмекші</t>
  </si>
  <si>
    <t>Барлығы :</t>
  </si>
  <si>
    <t xml:space="preserve">Мектеп директорының м.а:                     </t>
  </si>
  <si>
    <t>Р/с</t>
  </si>
  <si>
    <t>Аудандық білім бөлімінің бас маманы:                                  А.Жалмуханова</t>
  </si>
  <si>
    <t>Қазақстандық салалық білім және ғылым қызметкерлері кәсіптік</t>
  </si>
  <si>
    <t xml:space="preserve">                                                          </t>
  </si>
  <si>
    <t xml:space="preserve">                                            Әдістемелік кабинет меңгерушісі:</t>
  </si>
  <si>
    <t>одағының Атырау облыстық ұйымының Индер аудандық комитетінің төрағасы:                          Қ.Ахметова</t>
  </si>
  <si>
    <t>01.09.2020ж. еңбек өтілі</t>
  </si>
  <si>
    <t>Аудандық білім бөлімінің сектор меңгерушісі:                                    Ш.Сабирова</t>
  </si>
  <si>
    <t>Бас бухгалтері:</t>
  </si>
  <si>
    <t>Аудандық әдістемелік кабинет меңгерушісі:                                        Г.Жанбырбаева</t>
  </si>
  <si>
    <t>Аудандық білім бөлімінің бас маманы:                                                А.Жалмуханова</t>
  </si>
  <si>
    <t>Аудандық білім бөлімінің бас экономисі:                                             А.Ануарова</t>
  </si>
  <si>
    <t>Аудандық білім бөлімінің бас бүхгалтері:                                            А.Уалиева</t>
  </si>
  <si>
    <t>" Индер аудандық білім, денешынықтыру және спорт бөлімінің Қ.Абаханов атындағы орта мектебі "коммуналдық  мемлекеттік                 мекемесі бойынша 01.09.2020 жылға есептелген тарифтік кесте</t>
  </si>
  <si>
    <t xml:space="preserve"> еңбек өтілі 01.09.2020ж.</t>
  </si>
  <si>
    <t>Аудандық білім бөлімінің бас маманы:                                           А.Жалмуханова</t>
  </si>
  <si>
    <t>Аудандық білім бөлімінің бас экономисі:                                      А.Ануарова</t>
  </si>
  <si>
    <t>Аудандық білім бөлімінің бас бухгалтері:                                      А.Уалиева</t>
  </si>
  <si>
    <t>Аудандық білім бөлімінің сектор меңгерушісі:                             Ш.Сабирова</t>
  </si>
  <si>
    <t>Атырау облыстық ұйымының Индер аудандық</t>
  </si>
  <si>
    <t>комитетінің төрағасы:                                      Қ.Ахметова</t>
  </si>
  <si>
    <t>Айлық  еңбекақы жиыны,  тенге</t>
  </si>
  <si>
    <t>Аудандық әдістемелік кабинет меңгерушісі:                                  Г.Жанбырбаева</t>
  </si>
  <si>
    <t>көркем еңб,граф мұғ</t>
  </si>
  <si>
    <t>психолог 0,5 ст</t>
  </si>
  <si>
    <t>еңбек өтілі 01.09.2020ж.</t>
  </si>
  <si>
    <t>Аудандық әдістемелік кабинет меңгерушісі:                          Г.Жанбырбаева</t>
  </si>
  <si>
    <t>Аудандық білім бөлімінің сектор меңгерушісі:                      Ш.Сабирова</t>
  </si>
  <si>
    <t>Аудандық білім бөлімінің бас экономисі:                              А.Ануарова</t>
  </si>
  <si>
    <t>Аудандық білім бөлімінің бас бухгалтері:                              А.Уалиева</t>
  </si>
  <si>
    <t>Қазақстандық салалық білім және ғылым қызметкерлері</t>
  </si>
  <si>
    <t xml:space="preserve"> кәсіптік одағының Атырау облыстық ұйымының Индер </t>
  </si>
  <si>
    <t>аудандық комитет төрағасы:                                   Қ.Ахметова</t>
  </si>
  <si>
    <t xml:space="preserve">        Бекітемін:</t>
  </si>
  <si>
    <t>Бас бухгалтер</t>
  </si>
  <si>
    <t>Электромонтер</t>
  </si>
  <si>
    <t>Балташы</t>
  </si>
  <si>
    <t>Слесарь-сантехник</t>
  </si>
  <si>
    <t>Көлік жүргізуші</t>
  </si>
  <si>
    <t>Хасанова А</t>
  </si>
  <si>
    <t>9-0</t>
  </si>
  <si>
    <t>Сундетова А</t>
  </si>
  <si>
    <t>ортп</t>
  </si>
  <si>
    <t>оқу ісі орынб, еңбек мұғ</t>
  </si>
  <si>
    <t>информат мұғ, инф зерт</t>
  </si>
  <si>
    <t>шағын топ мұғалімі</t>
  </si>
  <si>
    <t xml:space="preserve">Жиыны техқызметкерлер: </t>
  </si>
  <si>
    <t>Мектеп директорының м.а:                          Н.Рахметуллина</t>
  </si>
  <si>
    <t>Бас бухгалтер:                                               К.Дуйсенгалиева</t>
  </si>
  <si>
    <t>одағының Атырау облыстық ұйымының Индер аудандық комитетінің төрағасы:                     Қ.Ахметова</t>
  </si>
  <si>
    <t xml:space="preserve">                                                Аудандық білім бөлімінің бас бухгалтері:                              А.Уалиева</t>
  </si>
  <si>
    <t xml:space="preserve">О.Дилмукашева </t>
  </si>
  <si>
    <t>О.Дилмукашева</t>
  </si>
  <si>
    <t>Аудандық білім бөлімінің сектор меңгерушісі:                       Ш.Сабирова</t>
  </si>
  <si>
    <t>Аудандық әдістемелік кабинет меңгерушісі:                       Г.Жанбырбаева</t>
  </si>
  <si>
    <t>" Индер аудандық білім, денешынықтыру және спорт бөлімінің Қ.Абаханов атындағы орта мектебі "коммуналдық  мемлекеттік                 мекемесі бойынша 01.09.2020 жылға есептелген тарифтік кесте (кезекші сынып)</t>
  </si>
  <si>
    <t>"Индер аудандық білім,денешынықтыру және спорт бөлімінің Қ.Абаханов атындағы орта мектебі"коммуналдық                                               мемлекеттік мекемесі бойынша   01.01.2020 жылғы есептелген тарифтік кестесі  Шағын топ</t>
  </si>
  <si>
    <t>Индер аудандық білім, дене шынықтыру және спорт</t>
  </si>
  <si>
    <t>Индер аудандық білім, дене шынықтыру және спорт бөлімінің Қ.Абаханов атындағы орта мектебі коммуналдық мемлекеттік мекемесі бойынша 01.09.2020 жылғы есептелген тарифтік кестесі (Кезекші сынып 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</si>
</sst>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0000"/>
  </numFmts>
  <fonts count="3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9"/>
      <name val="Arial"/>
      <family val="2"/>
      <charset val="204"/>
    </font>
    <font>
      <sz val="2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2" xfId="0" applyBorder="1"/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" fontId="8" fillId="0" borderId="2" xfId="0" applyNumberFormat="1" applyFont="1" applyBorder="1"/>
    <xf numFmtId="9" fontId="8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6" fillId="0" borderId="0" xfId="0" applyFont="1"/>
    <xf numFmtId="3" fontId="0" fillId="0" borderId="0" xfId="0" applyNumberFormat="1"/>
    <xf numFmtId="1" fontId="9" fillId="0" borderId="0" xfId="0" applyNumberFormat="1" applyFont="1" applyFill="1" applyBorder="1" applyAlignment="1">
      <alignment horizontal="center"/>
    </xf>
    <xf numFmtId="0" fontId="0" fillId="0" borderId="0" xfId="0" applyAlignment="1"/>
    <xf numFmtId="1" fontId="0" fillId="0" borderId="0" xfId="0" applyNumberFormat="1"/>
    <xf numFmtId="0" fontId="2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6" fillId="0" borderId="2" xfId="0" applyFont="1" applyBorder="1"/>
    <xf numFmtId="0" fontId="2" fillId="0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Fill="1" applyBorder="1"/>
    <xf numFmtId="1" fontId="2" fillId="0" borderId="2" xfId="0" applyNumberFormat="1" applyFont="1" applyFill="1" applyBorder="1"/>
    <xf numFmtId="9" fontId="9" fillId="0" borderId="2" xfId="0" applyNumberFormat="1" applyFont="1" applyBorder="1"/>
    <xf numFmtId="1" fontId="9" fillId="0" borderId="2" xfId="0" applyNumberFormat="1" applyFont="1" applyBorder="1"/>
    <xf numFmtId="10" fontId="2" fillId="0" borderId="2" xfId="0" applyNumberFormat="1" applyFont="1" applyFill="1" applyBorder="1"/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/>
    </xf>
    <xf numFmtId="9" fontId="9" fillId="0" borderId="2" xfId="0" applyNumberFormat="1" applyFont="1" applyFill="1" applyBorder="1"/>
    <xf numFmtId="1" fontId="9" fillId="0" borderId="2" xfId="0" applyNumberFormat="1" applyFont="1" applyFill="1" applyBorder="1"/>
    <xf numFmtId="0" fontId="9" fillId="0" borderId="3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9" fontId="2" fillId="0" borderId="2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>
      <alignment horizontal="right"/>
    </xf>
    <xf numFmtId="1" fontId="9" fillId="0" borderId="2" xfId="0" applyNumberFormat="1" applyFont="1" applyBorder="1" applyAlignment="1">
      <alignment horizontal="left"/>
    </xf>
    <xf numFmtId="9" fontId="9" fillId="0" borderId="2" xfId="0" applyNumberFormat="1" applyFont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/>
    </xf>
    <xf numFmtId="10" fontId="2" fillId="0" borderId="2" xfId="0" applyNumberFormat="1" applyFont="1" applyFill="1" applyBorder="1" applyAlignment="1"/>
    <xf numFmtId="9" fontId="2" fillId="0" borderId="2" xfId="0" applyNumberFormat="1" applyFont="1" applyFill="1" applyBorder="1" applyAlignment="1"/>
    <xf numFmtId="0" fontId="9" fillId="0" borderId="2" xfId="0" applyFont="1" applyBorder="1" applyAlignment="1">
      <alignment horizontal="left" vertical="center"/>
    </xf>
    <xf numFmtId="1" fontId="9" fillId="0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left"/>
    </xf>
    <xf numFmtId="9" fontId="2" fillId="0" borderId="2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1" fontId="9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0" xfId="0" applyFont="1" applyFill="1"/>
    <xf numFmtId="0" fontId="14" fillId="0" borderId="0" xfId="0" applyFont="1" applyFill="1" applyAlignment="1"/>
    <xf numFmtId="0" fontId="14" fillId="0" borderId="0" xfId="0" applyFont="1" applyFill="1" applyAlignment="1">
      <alignment horizontal="right"/>
    </xf>
    <xf numFmtId="0" fontId="15" fillId="0" borderId="0" xfId="0" applyFont="1"/>
    <xf numFmtId="0" fontId="17" fillId="0" borderId="2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2" fillId="0" borderId="3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2" fontId="2" fillId="2" borderId="4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  <xf numFmtId="1" fontId="1" fillId="0" borderId="2" xfId="0" applyNumberFormat="1" applyFont="1" applyFill="1" applyBorder="1"/>
    <xf numFmtId="1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Alignment="1"/>
    <xf numFmtId="164" fontId="6" fillId="0" borderId="0" xfId="0" applyNumberFormat="1" applyFont="1" applyFill="1"/>
    <xf numFmtId="0" fontId="1" fillId="0" borderId="0" xfId="0" applyFont="1" applyFill="1"/>
    <xf numFmtId="0" fontId="18" fillId="0" borderId="0" xfId="0" applyFont="1"/>
    <xf numFmtId="0" fontId="19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7" fillId="0" borderId="0" xfId="0" applyFont="1"/>
    <xf numFmtId="0" fontId="1" fillId="2" borderId="5" xfId="0" applyFont="1" applyFill="1" applyBorder="1"/>
    <xf numFmtId="0" fontId="0" fillId="0" borderId="0" xfId="0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20" fillId="0" borderId="0" xfId="0" applyFont="1"/>
    <xf numFmtId="0" fontId="9" fillId="0" borderId="5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0" fontId="10" fillId="0" borderId="0" xfId="0" applyFont="1" applyAlignment="1"/>
    <xf numFmtId="0" fontId="0" fillId="0" borderId="0" xfId="0" applyFont="1"/>
    <xf numFmtId="0" fontId="2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2" fillId="0" borderId="2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23" fillId="0" borderId="0" xfId="0" applyFont="1"/>
    <xf numFmtId="0" fontId="14" fillId="0" borderId="0" xfId="0" applyFont="1"/>
    <xf numFmtId="0" fontId="16" fillId="0" borderId="0" xfId="0" applyFont="1" applyBorder="1"/>
    <xf numFmtId="0" fontId="16" fillId="0" borderId="0" xfId="0" applyFont="1" applyFill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" fillId="0" borderId="0" xfId="0" applyFont="1" applyBorder="1"/>
    <xf numFmtId="0" fontId="2" fillId="0" borderId="1" xfId="0" applyFont="1" applyBorder="1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9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9" fontId="2" fillId="0" borderId="2" xfId="0" applyNumberFormat="1" applyFont="1" applyBorder="1"/>
    <xf numFmtId="1" fontId="2" fillId="0" borderId="8" xfId="0" applyNumberFormat="1" applyFont="1" applyBorder="1" applyAlignment="1">
      <alignment horizontal="center"/>
    </xf>
    <xf numFmtId="0" fontId="2" fillId="0" borderId="5" xfId="0" applyFont="1" applyBorder="1"/>
    <xf numFmtId="1" fontId="2" fillId="0" borderId="2" xfId="0" applyNumberFormat="1" applyFont="1" applyBorder="1"/>
    <xf numFmtId="165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1" fillId="0" borderId="8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4" fillId="0" borderId="0" xfId="0" applyFont="1" applyFill="1"/>
    <xf numFmtId="0" fontId="16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0" fontId="26" fillId="0" borderId="0" xfId="0" applyFont="1" applyAlignment="1">
      <alignment horizontal="center"/>
    </xf>
    <xf numFmtId="0" fontId="27" fillId="0" borderId="0" xfId="0" applyFont="1" applyAlignment="1"/>
    <xf numFmtId="0" fontId="27" fillId="0" borderId="0" xfId="0" applyFont="1" applyAlignment="1">
      <alignment horizontal="left"/>
    </xf>
    <xf numFmtId="0" fontId="27" fillId="0" borderId="0" xfId="0" applyFont="1"/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0" fillId="0" borderId="0" xfId="0" applyFont="1"/>
    <xf numFmtId="0" fontId="4" fillId="0" borderId="0" xfId="0" applyFont="1" applyFill="1" applyBorder="1"/>
    <xf numFmtId="0" fontId="28" fillId="0" borderId="0" xfId="0" applyFont="1"/>
    <xf numFmtId="0" fontId="14" fillId="0" borderId="0" xfId="0" applyFont="1" applyAlignment="1"/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/>
    <xf numFmtId="0" fontId="5" fillId="0" borderId="3" xfId="0" applyFont="1" applyFill="1" applyBorder="1"/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7" fillId="0" borderId="0" xfId="0" applyFont="1" applyBorder="1" applyAlignment="1"/>
    <xf numFmtId="0" fontId="0" fillId="0" borderId="0" xfId="0" applyBorder="1" applyAlignment="1"/>
    <xf numFmtId="0" fontId="10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Fill="1" applyAlignment="1"/>
    <xf numFmtId="0" fontId="27" fillId="0" borderId="0" xfId="0" applyFont="1" applyAlignment="1">
      <alignment horizontal="lef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right"/>
    </xf>
    <xf numFmtId="0" fontId="31" fillId="0" borderId="3" xfId="0" applyFont="1" applyBorder="1" applyAlignment="1">
      <alignment horizontal="center"/>
    </xf>
    <xf numFmtId="1" fontId="31" fillId="0" borderId="3" xfId="0" applyNumberFormat="1" applyFont="1" applyBorder="1" applyAlignment="1">
      <alignment horizontal="center"/>
    </xf>
    <xf numFmtId="1" fontId="30" fillId="0" borderId="3" xfId="0" applyNumberFormat="1" applyFont="1" applyBorder="1"/>
    <xf numFmtId="1" fontId="31" fillId="0" borderId="3" xfId="0" applyNumberFormat="1" applyFont="1" applyBorder="1"/>
    <xf numFmtId="9" fontId="30" fillId="0" borderId="3" xfId="0" applyNumberFormat="1" applyFont="1" applyBorder="1"/>
    <xf numFmtId="9" fontId="1" fillId="0" borderId="3" xfId="0" applyNumberFormat="1" applyFont="1" applyFill="1" applyBorder="1" applyAlignment="1">
      <alignment horizontal="left"/>
    </xf>
    <xf numFmtId="1" fontId="1" fillId="0" borderId="3" xfId="0" applyNumberFormat="1" applyFont="1" applyFill="1" applyBorder="1"/>
    <xf numFmtId="9" fontId="31" fillId="0" borderId="3" xfId="0" applyNumberFormat="1" applyFont="1" applyBorder="1"/>
    <xf numFmtId="1" fontId="31" fillId="0" borderId="8" xfId="0" applyNumberFormat="1" applyFont="1" applyBorder="1" applyAlignment="1">
      <alignment horizontal="center"/>
    </xf>
    <xf numFmtId="0" fontId="29" fillId="0" borderId="2" xfId="0" applyFont="1" applyBorder="1"/>
    <xf numFmtId="0" fontId="1" fillId="2" borderId="2" xfId="0" applyFont="1" applyFill="1" applyBorder="1"/>
    <xf numFmtId="0" fontId="2" fillId="0" borderId="2" xfId="0" applyFont="1" applyBorder="1" applyAlignment="1">
      <alignment horizontal="center" vertical="center" textRotation="90" wrapText="1"/>
    </xf>
    <xf numFmtId="164" fontId="3" fillId="2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" fontId="32" fillId="2" borderId="2" xfId="0" applyNumberFormat="1" applyFont="1" applyFill="1" applyBorder="1"/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wrapText="1"/>
    </xf>
    <xf numFmtId="0" fontId="20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10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9" fontId="2" fillId="0" borderId="1" xfId="0" applyNumberFormat="1" applyFont="1" applyFill="1" applyBorder="1" applyAlignment="1">
      <alignment horizontal="center" vertical="center" textRotation="90" wrapText="1"/>
    </xf>
    <xf numFmtId="9" fontId="2" fillId="0" borderId="3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Alignment="1"/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distributed"/>
    </xf>
    <xf numFmtId="0" fontId="2" fillId="0" borderId="3" xfId="0" applyFont="1" applyFill="1" applyBorder="1" applyAlignment="1">
      <alignment horizontal="center" vertical="distributed"/>
    </xf>
    <xf numFmtId="0" fontId="2" fillId="0" borderId="5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3" xfId="0" applyNumberFormat="1" applyFont="1" applyFill="1" applyBorder="1" applyAlignment="1">
      <alignment horizontal="center" vertical="center" textRotation="90" wrapText="1"/>
    </xf>
    <xf numFmtId="0" fontId="20" fillId="0" borderId="0" xfId="0" applyFont="1" applyAlignment="1">
      <alignment horizontal="center"/>
    </xf>
    <xf numFmtId="0" fontId="1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distributed"/>
    </xf>
    <xf numFmtId="0" fontId="3" fillId="0" borderId="2" xfId="0" applyFont="1" applyFill="1" applyBorder="1" applyAlignment="1">
      <alignment horizontal="center" vertical="center" textRotation="90" wrapText="1"/>
    </xf>
    <xf numFmtId="2" fontId="3" fillId="0" borderId="2" xfId="0" applyNumberFormat="1" applyFont="1" applyFill="1" applyBorder="1" applyAlignment="1">
      <alignment horizontal="center" vertical="center" textRotation="90" wrapText="1"/>
    </xf>
    <xf numFmtId="164" fontId="3" fillId="0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9" fontId="3" fillId="0" borderId="2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distributed"/>
    </xf>
    <xf numFmtId="0" fontId="1" fillId="0" borderId="1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center" vertical="center" textRotation="90" wrapText="1"/>
    </xf>
    <xf numFmtId="3" fontId="20" fillId="0" borderId="0" xfId="0" applyNumberFormat="1" applyFont="1"/>
    <xf numFmtId="1" fontId="2" fillId="0" borderId="0" xfId="0" applyNumberFormat="1" applyFont="1" applyFill="1" applyBorder="1" applyAlignment="1">
      <alignment horizontal="center"/>
    </xf>
    <xf numFmtId="3" fontId="19" fillId="0" borderId="0" xfId="0" applyNumberFormat="1" applyFont="1"/>
    <xf numFmtId="0" fontId="2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28"/>
  <sheetViews>
    <sheetView workbookViewId="0">
      <selection activeCell="X4" sqref="X4:Y4"/>
    </sheetView>
  </sheetViews>
  <sheetFormatPr defaultRowHeight="15"/>
  <cols>
    <col min="1" max="1" width="3.7109375" customWidth="1"/>
    <col min="2" max="2" width="16.28515625" customWidth="1"/>
    <col min="3" max="3" width="19.28515625" customWidth="1"/>
    <col min="4" max="4" width="8.140625" customWidth="1"/>
    <col min="5" max="5" width="5.5703125" customWidth="1"/>
    <col min="6" max="6" width="7" customWidth="1"/>
    <col min="7" max="7" width="6.140625" customWidth="1"/>
    <col min="8" max="8" width="5.140625" customWidth="1"/>
    <col min="9" max="10" width="5" customWidth="1"/>
    <col min="11" max="11" width="4.7109375" customWidth="1"/>
    <col min="12" max="12" width="5.28515625" customWidth="1"/>
    <col min="13" max="13" width="6.85546875" customWidth="1"/>
    <col min="14" max="14" width="4.7109375" customWidth="1"/>
    <col min="15" max="15" width="6.5703125" customWidth="1"/>
    <col min="16" max="16" width="7.7109375" customWidth="1"/>
    <col min="17" max="17" width="8" customWidth="1"/>
    <col min="18" max="18" width="9" customWidth="1"/>
    <col min="19" max="19" width="5.28515625" customWidth="1"/>
    <col min="20" max="20" width="7.42578125" customWidth="1"/>
    <col min="21" max="22" width="5.28515625" customWidth="1"/>
    <col min="23" max="23" width="7.7109375" customWidth="1"/>
    <col min="24" max="24" width="5.7109375" customWidth="1"/>
    <col min="25" max="25" width="7" customWidth="1"/>
    <col min="26" max="26" width="5.28515625" customWidth="1"/>
    <col min="27" max="27" width="6.7109375" customWidth="1"/>
    <col min="28" max="28" width="5" customWidth="1"/>
    <col min="29" max="29" width="7.85546875" customWidth="1"/>
    <col min="30" max="30" width="6.5703125" customWidth="1"/>
    <col min="31" max="31" width="8.28515625" customWidth="1"/>
    <col min="32" max="32" width="6.140625" customWidth="1"/>
    <col min="33" max="33" width="6.28515625" customWidth="1"/>
    <col min="34" max="34" width="5.85546875" customWidth="1"/>
    <col min="35" max="35" width="6.85546875" customWidth="1"/>
    <col min="36" max="36" width="6.5703125" customWidth="1"/>
    <col min="37" max="37" width="5.28515625" customWidth="1"/>
    <col min="38" max="38" width="5.7109375" customWidth="1"/>
    <col min="39" max="39" width="7" customWidth="1"/>
    <col min="40" max="40" width="5.5703125" customWidth="1"/>
    <col min="41" max="41" width="5.85546875" customWidth="1"/>
    <col min="42" max="43" width="4.5703125" customWidth="1"/>
    <col min="44" max="46" width="5.140625" customWidth="1"/>
    <col min="47" max="47" width="7.5703125" customWidth="1"/>
    <col min="48" max="48" width="4.140625" customWidth="1"/>
    <col min="49" max="49" width="6.7109375" customWidth="1"/>
    <col min="50" max="50" width="8.42578125" customWidth="1"/>
    <col min="51" max="51" width="10" customWidth="1"/>
    <col min="52" max="52" width="10.140625" customWidth="1"/>
    <col min="53" max="53" width="10.28515625" customWidth="1"/>
    <col min="54" max="54" width="12.5703125" customWidth="1"/>
    <col min="259" max="259" width="3" customWidth="1"/>
    <col min="260" max="264" width="22" customWidth="1"/>
    <col min="265" max="265" width="7.140625" customWidth="1"/>
    <col min="266" max="267" width="6.140625" customWidth="1"/>
    <col min="268" max="271" width="6.85546875" customWidth="1"/>
    <col min="272" max="273" width="8" customWidth="1"/>
    <col min="274" max="274" width="9.7109375" customWidth="1"/>
    <col min="275" max="275" width="8.42578125" customWidth="1"/>
    <col min="276" max="276" width="9" customWidth="1"/>
    <col min="277" max="277" width="5.28515625" customWidth="1"/>
    <col min="278" max="278" width="6" customWidth="1"/>
    <col min="279" max="279" width="5.140625" customWidth="1"/>
    <col min="280" max="280" width="5.28515625" customWidth="1"/>
    <col min="281" max="281" width="7.7109375" customWidth="1"/>
    <col min="282" max="282" width="4.85546875" customWidth="1"/>
    <col min="283" max="283" width="6.28515625" customWidth="1"/>
    <col min="284" max="284" width="5" customWidth="1"/>
    <col min="285" max="285" width="6.7109375" customWidth="1"/>
    <col min="286" max="286" width="4.5703125" customWidth="1"/>
    <col min="287" max="287" width="7.85546875" customWidth="1"/>
    <col min="288" max="288" width="5" customWidth="1"/>
    <col min="289" max="289" width="7.85546875" customWidth="1"/>
    <col min="290" max="290" width="4.42578125" customWidth="1"/>
    <col min="291" max="291" width="6.85546875" customWidth="1"/>
    <col min="292" max="292" width="4.140625" customWidth="1"/>
    <col min="293" max="299" width="7.42578125" customWidth="1"/>
    <col min="300" max="300" width="5.140625" customWidth="1"/>
    <col min="301" max="301" width="7.5703125" customWidth="1"/>
    <col min="302" max="302" width="4.140625" customWidth="1"/>
    <col min="303" max="303" width="6.7109375" customWidth="1"/>
    <col min="304" max="304" width="8.42578125" customWidth="1"/>
    <col min="305" max="305" width="10.140625" customWidth="1"/>
    <col min="306" max="306" width="14" customWidth="1"/>
    <col min="307" max="307" width="11.140625" customWidth="1"/>
    <col min="308" max="309" width="11.42578125" customWidth="1"/>
    <col min="515" max="515" width="3" customWidth="1"/>
    <col min="516" max="520" width="22" customWidth="1"/>
    <col min="521" max="521" width="7.140625" customWidth="1"/>
    <col min="522" max="523" width="6.140625" customWidth="1"/>
    <col min="524" max="527" width="6.85546875" customWidth="1"/>
    <col min="528" max="529" width="8" customWidth="1"/>
    <col min="530" max="530" width="9.7109375" customWidth="1"/>
    <col min="531" max="531" width="8.42578125" customWidth="1"/>
    <col min="532" max="532" width="9" customWidth="1"/>
    <col min="533" max="533" width="5.28515625" customWidth="1"/>
    <col min="534" max="534" width="6" customWidth="1"/>
    <col min="535" max="535" width="5.140625" customWidth="1"/>
    <col min="536" max="536" width="5.28515625" customWidth="1"/>
    <col min="537" max="537" width="7.7109375" customWidth="1"/>
    <col min="538" max="538" width="4.85546875" customWidth="1"/>
    <col min="539" max="539" width="6.28515625" customWidth="1"/>
    <col min="540" max="540" width="5" customWidth="1"/>
    <col min="541" max="541" width="6.7109375" customWidth="1"/>
    <col min="542" max="542" width="4.5703125" customWidth="1"/>
    <col min="543" max="543" width="7.85546875" customWidth="1"/>
    <col min="544" max="544" width="5" customWidth="1"/>
    <col min="545" max="545" width="7.85546875" customWidth="1"/>
    <col min="546" max="546" width="4.42578125" customWidth="1"/>
    <col min="547" max="547" width="6.85546875" customWidth="1"/>
    <col min="548" max="548" width="4.140625" customWidth="1"/>
    <col min="549" max="555" width="7.42578125" customWidth="1"/>
    <col min="556" max="556" width="5.140625" customWidth="1"/>
    <col min="557" max="557" width="7.5703125" customWidth="1"/>
    <col min="558" max="558" width="4.140625" customWidth="1"/>
    <col min="559" max="559" width="6.7109375" customWidth="1"/>
    <col min="560" max="560" width="8.42578125" customWidth="1"/>
    <col min="561" max="561" width="10.140625" customWidth="1"/>
    <col min="562" max="562" width="14" customWidth="1"/>
    <col min="563" max="563" width="11.140625" customWidth="1"/>
    <col min="564" max="565" width="11.42578125" customWidth="1"/>
    <col min="771" max="771" width="3" customWidth="1"/>
    <col min="772" max="776" width="22" customWidth="1"/>
    <col min="777" max="777" width="7.140625" customWidth="1"/>
    <col min="778" max="779" width="6.140625" customWidth="1"/>
    <col min="780" max="783" width="6.85546875" customWidth="1"/>
    <col min="784" max="785" width="8" customWidth="1"/>
    <col min="786" max="786" width="9.7109375" customWidth="1"/>
    <col min="787" max="787" width="8.42578125" customWidth="1"/>
    <col min="788" max="788" width="9" customWidth="1"/>
    <col min="789" max="789" width="5.28515625" customWidth="1"/>
    <col min="790" max="790" width="6" customWidth="1"/>
    <col min="791" max="791" width="5.140625" customWidth="1"/>
    <col min="792" max="792" width="5.28515625" customWidth="1"/>
    <col min="793" max="793" width="7.7109375" customWidth="1"/>
    <col min="794" max="794" width="4.85546875" customWidth="1"/>
    <col min="795" max="795" width="6.28515625" customWidth="1"/>
    <col min="796" max="796" width="5" customWidth="1"/>
    <col min="797" max="797" width="6.7109375" customWidth="1"/>
    <col min="798" max="798" width="4.5703125" customWidth="1"/>
    <col min="799" max="799" width="7.85546875" customWidth="1"/>
    <col min="800" max="800" width="5" customWidth="1"/>
    <col min="801" max="801" width="7.85546875" customWidth="1"/>
    <col min="802" max="802" width="4.42578125" customWidth="1"/>
    <col min="803" max="803" width="6.85546875" customWidth="1"/>
    <col min="804" max="804" width="4.140625" customWidth="1"/>
    <col min="805" max="811" width="7.42578125" customWidth="1"/>
    <col min="812" max="812" width="5.140625" customWidth="1"/>
    <col min="813" max="813" width="7.5703125" customWidth="1"/>
    <col min="814" max="814" width="4.140625" customWidth="1"/>
    <col min="815" max="815" width="6.7109375" customWidth="1"/>
    <col min="816" max="816" width="8.42578125" customWidth="1"/>
    <col min="817" max="817" width="10.140625" customWidth="1"/>
    <col min="818" max="818" width="14" customWidth="1"/>
    <col min="819" max="819" width="11.140625" customWidth="1"/>
    <col min="820" max="821" width="11.42578125" customWidth="1"/>
    <col min="1027" max="1027" width="3" customWidth="1"/>
    <col min="1028" max="1032" width="22" customWidth="1"/>
    <col min="1033" max="1033" width="7.140625" customWidth="1"/>
    <col min="1034" max="1035" width="6.140625" customWidth="1"/>
    <col min="1036" max="1039" width="6.85546875" customWidth="1"/>
    <col min="1040" max="1041" width="8" customWidth="1"/>
    <col min="1042" max="1042" width="9.7109375" customWidth="1"/>
    <col min="1043" max="1043" width="8.42578125" customWidth="1"/>
    <col min="1044" max="1044" width="9" customWidth="1"/>
    <col min="1045" max="1045" width="5.28515625" customWidth="1"/>
    <col min="1046" max="1046" width="6" customWidth="1"/>
    <col min="1047" max="1047" width="5.140625" customWidth="1"/>
    <col min="1048" max="1048" width="5.28515625" customWidth="1"/>
    <col min="1049" max="1049" width="7.7109375" customWidth="1"/>
    <col min="1050" max="1050" width="4.85546875" customWidth="1"/>
    <col min="1051" max="1051" width="6.28515625" customWidth="1"/>
    <col min="1052" max="1052" width="5" customWidth="1"/>
    <col min="1053" max="1053" width="6.7109375" customWidth="1"/>
    <col min="1054" max="1054" width="4.5703125" customWidth="1"/>
    <col min="1055" max="1055" width="7.85546875" customWidth="1"/>
    <col min="1056" max="1056" width="5" customWidth="1"/>
    <col min="1057" max="1057" width="7.85546875" customWidth="1"/>
    <col min="1058" max="1058" width="4.42578125" customWidth="1"/>
    <col min="1059" max="1059" width="6.85546875" customWidth="1"/>
    <col min="1060" max="1060" width="4.140625" customWidth="1"/>
    <col min="1061" max="1067" width="7.42578125" customWidth="1"/>
    <col min="1068" max="1068" width="5.140625" customWidth="1"/>
    <col min="1069" max="1069" width="7.5703125" customWidth="1"/>
    <col min="1070" max="1070" width="4.140625" customWidth="1"/>
    <col min="1071" max="1071" width="6.7109375" customWidth="1"/>
    <col min="1072" max="1072" width="8.42578125" customWidth="1"/>
    <col min="1073" max="1073" width="10.140625" customWidth="1"/>
    <col min="1074" max="1074" width="14" customWidth="1"/>
    <col min="1075" max="1075" width="11.140625" customWidth="1"/>
    <col min="1076" max="1077" width="11.42578125" customWidth="1"/>
    <col min="1283" max="1283" width="3" customWidth="1"/>
    <col min="1284" max="1288" width="22" customWidth="1"/>
    <col min="1289" max="1289" width="7.140625" customWidth="1"/>
    <col min="1290" max="1291" width="6.140625" customWidth="1"/>
    <col min="1292" max="1295" width="6.85546875" customWidth="1"/>
    <col min="1296" max="1297" width="8" customWidth="1"/>
    <col min="1298" max="1298" width="9.7109375" customWidth="1"/>
    <col min="1299" max="1299" width="8.42578125" customWidth="1"/>
    <col min="1300" max="1300" width="9" customWidth="1"/>
    <col min="1301" max="1301" width="5.28515625" customWidth="1"/>
    <col min="1302" max="1302" width="6" customWidth="1"/>
    <col min="1303" max="1303" width="5.140625" customWidth="1"/>
    <col min="1304" max="1304" width="5.28515625" customWidth="1"/>
    <col min="1305" max="1305" width="7.7109375" customWidth="1"/>
    <col min="1306" max="1306" width="4.85546875" customWidth="1"/>
    <col min="1307" max="1307" width="6.28515625" customWidth="1"/>
    <col min="1308" max="1308" width="5" customWidth="1"/>
    <col min="1309" max="1309" width="6.7109375" customWidth="1"/>
    <col min="1310" max="1310" width="4.5703125" customWidth="1"/>
    <col min="1311" max="1311" width="7.85546875" customWidth="1"/>
    <col min="1312" max="1312" width="5" customWidth="1"/>
    <col min="1313" max="1313" width="7.85546875" customWidth="1"/>
    <col min="1314" max="1314" width="4.42578125" customWidth="1"/>
    <col min="1315" max="1315" width="6.85546875" customWidth="1"/>
    <col min="1316" max="1316" width="4.140625" customWidth="1"/>
    <col min="1317" max="1323" width="7.42578125" customWidth="1"/>
    <col min="1324" max="1324" width="5.140625" customWidth="1"/>
    <col min="1325" max="1325" width="7.5703125" customWidth="1"/>
    <col min="1326" max="1326" width="4.140625" customWidth="1"/>
    <col min="1327" max="1327" width="6.7109375" customWidth="1"/>
    <col min="1328" max="1328" width="8.42578125" customWidth="1"/>
    <col min="1329" max="1329" width="10.140625" customWidth="1"/>
    <col min="1330" max="1330" width="14" customWidth="1"/>
    <col min="1331" max="1331" width="11.140625" customWidth="1"/>
    <col min="1332" max="1333" width="11.42578125" customWidth="1"/>
    <col min="1539" max="1539" width="3" customWidth="1"/>
    <col min="1540" max="1544" width="22" customWidth="1"/>
    <col min="1545" max="1545" width="7.140625" customWidth="1"/>
    <col min="1546" max="1547" width="6.140625" customWidth="1"/>
    <col min="1548" max="1551" width="6.85546875" customWidth="1"/>
    <col min="1552" max="1553" width="8" customWidth="1"/>
    <col min="1554" max="1554" width="9.7109375" customWidth="1"/>
    <col min="1555" max="1555" width="8.42578125" customWidth="1"/>
    <col min="1556" max="1556" width="9" customWidth="1"/>
    <col min="1557" max="1557" width="5.28515625" customWidth="1"/>
    <col min="1558" max="1558" width="6" customWidth="1"/>
    <col min="1559" max="1559" width="5.140625" customWidth="1"/>
    <col min="1560" max="1560" width="5.28515625" customWidth="1"/>
    <col min="1561" max="1561" width="7.7109375" customWidth="1"/>
    <col min="1562" max="1562" width="4.85546875" customWidth="1"/>
    <col min="1563" max="1563" width="6.28515625" customWidth="1"/>
    <col min="1564" max="1564" width="5" customWidth="1"/>
    <col min="1565" max="1565" width="6.7109375" customWidth="1"/>
    <col min="1566" max="1566" width="4.5703125" customWidth="1"/>
    <col min="1567" max="1567" width="7.85546875" customWidth="1"/>
    <col min="1568" max="1568" width="5" customWidth="1"/>
    <col min="1569" max="1569" width="7.85546875" customWidth="1"/>
    <col min="1570" max="1570" width="4.42578125" customWidth="1"/>
    <col min="1571" max="1571" width="6.85546875" customWidth="1"/>
    <col min="1572" max="1572" width="4.140625" customWidth="1"/>
    <col min="1573" max="1579" width="7.42578125" customWidth="1"/>
    <col min="1580" max="1580" width="5.140625" customWidth="1"/>
    <col min="1581" max="1581" width="7.5703125" customWidth="1"/>
    <col min="1582" max="1582" width="4.140625" customWidth="1"/>
    <col min="1583" max="1583" width="6.7109375" customWidth="1"/>
    <col min="1584" max="1584" width="8.42578125" customWidth="1"/>
    <col min="1585" max="1585" width="10.140625" customWidth="1"/>
    <col min="1586" max="1586" width="14" customWidth="1"/>
    <col min="1587" max="1587" width="11.140625" customWidth="1"/>
    <col min="1588" max="1589" width="11.42578125" customWidth="1"/>
    <col min="1795" max="1795" width="3" customWidth="1"/>
    <col min="1796" max="1800" width="22" customWidth="1"/>
    <col min="1801" max="1801" width="7.140625" customWidth="1"/>
    <col min="1802" max="1803" width="6.140625" customWidth="1"/>
    <col min="1804" max="1807" width="6.85546875" customWidth="1"/>
    <col min="1808" max="1809" width="8" customWidth="1"/>
    <col min="1810" max="1810" width="9.7109375" customWidth="1"/>
    <col min="1811" max="1811" width="8.42578125" customWidth="1"/>
    <col min="1812" max="1812" width="9" customWidth="1"/>
    <col min="1813" max="1813" width="5.28515625" customWidth="1"/>
    <col min="1814" max="1814" width="6" customWidth="1"/>
    <col min="1815" max="1815" width="5.140625" customWidth="1"/>
    <col min="1816" max="1816" width="5.28515625" customWidth="1"/>
    <col min="1817" max="1817" width="7.7109375" customWidth="1"/>
    <col min="1818" max="1818" width="4.85546875" customWidth="1"/>
    <col min="1819" max="1819" width="6.28515625" customWidth="1"/>
    <col min="1820" max="1820" width="5" customWidth="1"/>
    <col min="1821" max="1821" width="6.7109375" customWidth="1"/>
    <col min="1822" max="1822" width="4.5703125" customWidth="1"/>
    <col min="1823" max="1823" width="7.85546875" customWidth="1"/>
    <col min="1824" max="1824" width="5" customWidth="1"/>
    <col min="1825" max="1825" width="7.85546875" customWidth="1"/>
    <col min="1826" max="1826" width="4.42578125" customWidth="1"/>
    <col min="1827" max="1827" width="6.85546875" customWidth="1"/>
    <col min="1828" max="1828" width="4.140625" customWidth="1"/>
    <col min="1829" max="1835" width="7.42578125" customWidth="1"/>
    <col min="1836" max="1836" width="5.140625" customWidth="1"/>
    <col min="1837" max="1837" width="7.5703125" customWidth="1"/>
    <col min="1838" max="1838" width="4.140625" customWidth="1"/>
    <col min="1839" max="1839" width="6.7109375" customWidth="1"/>
    <col min="1840" max="1840" width="8.42578125" customWidth="1"/>
    <col min="1841" max="1841" width="10.140625" customWidth="1"/>
    <col min="1842" max="1842" width="14" customWidth="1"/>
    <col min="1843" max="1843" width="11.140625" customWidth="1"/>
    <col min="1844" max="1845" width="11.42578125" customWidth="1"/>
    <col min="2051" max="2051" width="3" customWidth="1"/>
    <col min="2052" max="2056" width="22" customWidth="1"/>
    <col min="2057" max="2057" width="7.140625" customWidth="1"/>
    <col min="2058" max="2059" width="6.140625" customWidth="1"/>
    <col min="2060" max="2063" width="6.85546875" customWidth="1"/>
    <col min="2064" max="2065" width="8" customWidth="1"/>
    <col min="2066" max="2066" width="9.7109375" customWidth="1"/>
    <col min="2067" max="2067" width="8.42578125" customWidth="1"/>
    <col min="2068" max="2068" width="9" customWidth="1"/>
    <col min="2069" max="2069" width="5.28515625" customWidth="1"/>
    <col min="2070" max="2070" width="6" customWidth="1"/>
    <col min="2071" max="2071" width="5.140625" customWidth="1"/>
    <col min="2072" max="2072" width="5.28515625" customWidth="1"/>
    <col min="2073" max="2073" width="7.7109375" customWidth="1"/>
    <col min="2074" max="2074" width="4.85546875" customWidth="1"/>
    <col min="2075" max="2075" width="6.28515625" customWidth="1"/>
    <col min="2076" max="2076" width="5" customWidth="1"/>
    <col min="2077" max="2077" width="6.7109375" customWidth="1"/>
    <col min="2078" max="2078" width="4.5703125" customWidth="1"/>
    <col min="2079" max="2079" width="7.85546875" customWidth="1"/>
    <col min="2080" max="2080" width="5" customWidth="1"/>
    <col min="2081" max="2081" width="7.85546875" customWidth="1"/>
    <col min="2082" max="2082" width="4.42578125" customWidth="1"/>
    <col min="2083" max="2083" width="6.85546875" customWidth="1"/>
    <col min="2084" max="2084" width="4.140625" customWidth="1"/>
    <col min="2085" max="2091" width="7.42578125" customWidth="1"/>
    <col min="2092" max="2092" width="5.140625" customWidth="1"/>
    <col min="2093" max="2093" width="7.5703125" customWidth="1"/>
    <col min="2094" max="2094" width="4.140625" customWidth="1"/>
    <col min="2095" max="2095" width="6.7109375" customWidth="1"/>
    <col min="2096" max="2096" width="8.42578125" customWidth="1"/>
    <col min="2097" max="2097" width="10.140625" customWidth="1"/>
    <col min="2098" max="2098" width="14" customWidth="1"/>
    <col min="2099" max="2099" width="11.140625" customWidth="1"/>
    <col min="2100" max="2101" width="11.42578125" customWidth="1"/>
    <col min="2307" max="2307" width="3" customWidth="1"/>
    <col min="2308" max="2312" width="22" customWidth="1"/>
    <col min="2313" max="2313" width="7.140625" customWidth="1"/>
    <col min="2314" max="2315" width="6.140625" customWidth="1"/>
    <col min="2316" max="2319" width="6.85546875" customWidth="1"/>
    <col min="2320" max="2321" width="8" customWidth="1"/>
    <col min="2322" max="2322" width="9.7109375" customWidth="1"/>
    <col min="2323" max="2323" width="8.42578125" customWidth="1"/>
    <col min="2324" max="2324" width="9" customWidth="1"/>
    <col min="2325" max="2325" width="5.28515625" customWidth="1"/>
    <col min="2326" max="2326" width="6" customWidth="1"/>
    <col min="2327" max="2327" width="5.140625" customWidth="1"/>
    <col min="2328" max="2328" width="5.28515625" customWidth="1"/>
    <col min="2329" max="2329" width="7.7109375" customWidth="1"/>
    <col min="2330" max="2330" width="4.85546875" customWidth="1"/>
    <col min="2331" max="2331" width="6.28515625" customWidth="1"/>
    <col min="2332" max="2332" width="5" customWidth="1"/>
    <col min="2333" max="2333" width="6.7109375" customWidth="1"/>
    <col min="2334" max="2334" width="4.5703125" customWidth="1"/>
    <col min="2335" max="2335" width="7.85546875" customWidth="1"/>
    <col min="2336" max="2336" width="5" customWidth="1"/>
    <col min="2337" max="2337" width="7.85546875" customWidth="1"/>
    <col min="2338" max="2338" width="4.42578125" customWidth="1"/>
    <col min="2339" max="2339" width="6.85546875" customWidth="1"/>
    <col min="2340" max="2340" width="4.140625" customWidth="1"/>
    <col min="2341" max="2347" width="7.42578125" customWidth="1"/>
    <col min="2348" max="2348" width="5.140625" customWidth="1"/>
    <col min="2349" max="2349" width="7.5703125" customWidth="1"/>
    <col min="2350" max="2350" width="4.140625" customWidth="1"/>
    <col min="2351" max="2351" width="6.7109375" customWidth="1"/>
    <col min="2352" max="2352" width="8.42578125" customWidth="1"/>
    <col min="2353" max="2353" width="10.140625" customWidth="1"/>
    <col min="2354" max="2354" width="14" customWidth="1"/>
    <col min="2355" max="2355" width="11.140625" customWidth="1"/>
    <col min="2356" max="2357" width="11.42578125" customWidth="1"/>
    <col min="2563" max="2563" width="3" customWidth="1"/>
    <col min="2564" max="2568" width="22" customWidth="1"/>
    <col min="2569" max="2569" width="7.140625" customWidth="1"/>
    <col min="2570" max="2571" width="6.140625" customWidth="1"/>
    <col min="2572" max="2575" width="6.85546875" customWidth="1"/>
    <col min="2576" max="2577" width="8" customWidth="1"/>
    <col min="2578" max="2578" width="9.7109375" customWidth="1"/>
    <col min="2579" max="2579" width="8.42578125" customWidth="1"/>
    <col min="2580" max="2580" width="9" customWidth="1"/>
    <col min="2581" max="2581" width="5.28515625" customWidth="1"/>
    <col min="2582" max="2582" width="6" customWidth="1"/>
    <col min="2583" max="2583" width="5.140625" customWidth="1"/>
    <col min="2584" max="2584" width="5.28515625" customWidth="1"/>
    <col min="2585" max="2585" width="7.7109375" customWidth="1"/>
    <col min="2586" max="2586" width="4.85546875" customWidth="1"/>
    <col min="2587" max="2587" width="6.28515625" customWidth="1"/>
    <col min="2588" max="2588" width="5" customWidth="1"/>
    <col min="2589" max="2589" width="6.7109375" customWidth="1"/>
    <col min="2590" max="2590" width="4.5703125" customWidth="1"/>
    <col min="2591" max="2591" width="7.85546875" customWidth="1"/>
    <col min="2592" max="2592" width="5" customWidth="1"/>
    <col min="2593" max="2593" width="7.85546875" customWidth="1"/>
    <col min="2594" max="2594" width="4.42578125" customWidth="1"/>
    <col min="2595" max="2595" width="6.85546875" customWidth="1"/>
    <col min="2596" max="2596" width="4.140625" customWidth="1"/>
    <col min="2597" max="2603" width="7.42578125" customWidth="1"/>
    <col min="2604" max="2604" width="5.140625" customWidth="1"/>
    <col min="2605" max="2605" width="7.5703125" customWidth="1"/>
    <col min="2606" max="2606" width="4.140625" customWidth="1"/>
    <col min="2607" max="2607" width="6.7109375" customWidth="1"/>
    <col min="2608" max="2608" width="8.42578125" customWidth="1"/>
    <col min="2609" max="2609" width="10.140625" customWidth="1"/>
    <col min="2610" max="2610" width="14" customWidth="1"/>
    <col min="2611" max="2611" width="11.140625" customWidth="1"/>
    <col min="2612" max="2613" width="11.42578125" customWidth="1"/>
    <col min="2819" max="2819" width="3" customWidth="1"/>
    <col min="2820" max="2824" width="22" customWidth="1"/>
    <col min="2825" max="2825" width="7.140625" customWidth="1"/>
    <col min="2826" max="2827" width="6.140625" customWidth="1"/>
    <col min="2828" max="2831" width="6.85546875" customWidth="1"/>
    <col min="2832" max="2833" width="8" customWidth="1"/>
    <col min="2834" max="2834" width="9.7109375" customWidth="1"/>
    <col min="2835" max="2835" width="8.42578125" customWidth="1"/>
    <col min="2836" max="2836" width="9" customWidth="1"/>
    <col min="2837" max="2837" width="5.28515625" customWidth="1"/>
    <col min="2838" max="2838" width="6" customWidth="1"/>
    <col min="2839" max="2839" width="5.140625" customWidth="1"/>
    <col min="2840" max="2840" width="5.28515625" customWidth="1"/>
    <col min="2841" max="2841" width="7.7109375" customWidth="1"/>
    <col min="2842" max="2842" width="4.85546875" customWidth="1"/>
    <col min="2843" max="2843" width="6.28515625" customWidth="1"/>
    <col min="2844" max="2844" width="5" customWidth="1"/>
    <col min="2845" max="2845" width="6.7109375" customWidth="1"/>
    <col min="2846" max="2846" width="4.5703125" customWidth="1"/>
    <col min="2847" max="2847" width="7.85546875" customWidth="1"/>
    <col min="2848" max="2848" width="5" customWidth="1"/>
    <col min="2849" max="2849" width="7.85546875" customWidth="1"/>
    <col min="2850" max="2850" width="4.42578125" customWidth="1"/>
    <col min="2851" max="2851" width="6.85546875" customWidth="1"/>
    <col min="2852" max="2852" width="4.140625" customWidth="1"/>
    <col min="2853" max="2859" width="7.42578125" customWidth="1"/>
    <col min="2860" max="2860" width="5.140625" customWidth="1"/>
    <col min="2861" max="2861" width="7.5703125" customWidth="1"/>
    <col min="2862" max="2862" width="4.140625" customWidth="1"/>
    <col min="2863" max="2863" width="6.7109375" customWidth="1"/>
    <col min="2864" max="2864" width="8.42578125" customWidth="1"/>
    <col min="2865" max="2865" width="10.140625" customWidth="1"/>
    <col min="2866" max="2866" width="14" customWidth="1"/>
    <col min="2867" max="2867" width="11.140625" customWidth="1"/>
    <col min="2868" max="2869" width="11.42578125" customWidth="1"/>
    <col min="3075" max="3075" width="3" customWidth="1"/>
    <col min="3076" max="3080" width="22" customWidth="1"/>
    <col min="3081" max="3081" width="7.140625" customWidth="1"/>
    <col min="3082" max="3083" width="6.140625" customWidth="1"/>
    <col min="3084" max="3087" width="6.85546875" customWidth="1"/>
    <col min="3088" max="3089" width="8" customWidth="1"/>
    <col min="3090" max="3090" width="9.7109375" customWidth="1"/>
    <col min="3091" max="3091" width="8.42578125" customWidth="1"/>
    <col min="3092" max="3092" width="9" customWidth="1"/>
    <col min="3093" max="3093" width="5.28515625" customWidth="1"/>
    <col min="3094" max="3094" width="6" customWidth="1"/>
    <col min="3095" max="3095" width="5.140625" customWidth="1"/>
    <col min="3096" max="3096" width="5.28515625" customWidth="1"/>
    <col min="3097" max="3097" width="7.7109375" customWidth="1"/>
    <col min="3098" max="3098" width="4.85546875" customWidth="1"/>
    <col min="3099" max="3099" width="6.28515625" customWidth="1"/>
    <col min="3100" max="3100" width="5" customWidth="1"/>
    <col min="3101" max="3101" width="6.7109375" customWidth="1"/>
    <col min="3102" max="3102" width="4.5703125" customWidth="1"/>
    <col min="3103" max="3103" width="7.85546875" customWidth="1"/>
    <col min="3104" max="3104" width="5" customWidth="1"/>
    <col min="3105" max="3105" width="7.85546875" customWidth="1"/>
    <col min="3106" max="3106" width="4.42578125" customWidth="1"/>
    <col min="3107" max="3107" width="6.85546875" customWidth="1"/>
    <col min="3108" max="3108" width="4.140625" customWidth="1"/>
    <col min="3109" max="3115" width="7.42578125" customWidth="1"/>
    <col min="3116" max="3116" width="5.140625" customWidth="1"/>
    <col min="3117" max="3117" width="7.5703125" customWidth="1"/>
    <col min="3118" max="3118" width="4.140625" customWidth="1"/>
    <col min="3119" max="3119" width="6.7109375" customWidth="1"/>
    <col min="3120" max="3120" width="8.42578125" customWidth="1"/>
    <col min="3121" max="3121" width="10.140625" customWidth="1"/>
    <col min="3122" max="3122" width="14" customWidth="1"/>
    <col min="3123" max="3123" width="11.140625" customWidth="1"/>
    <col min="3124" max="3125" width="11.42578125" customWidth="1"/>
    <col min="3331" max="3331" width="3" customWidth="1"/>
    <col min="3332" max="3336" width="22" customWidth="1"/>
    <col min="3337" max="3337" width="7.140625" customWidth="1"/>
    <col min="3338" max="3339" width="6.140625" customWidth="1"/>
    <col min="3340" max="3343" width="6.85546875" customWidth="1"/>
    <col min="3344" max="3345" width="8" customWidth="1"/>
    <col min="3346" max="3346" width="9.7109375" customWidth="1"/>
    <col min="3347" max="3347" width="8.42578125" customWidth="1"/>
    <col min="3348" max="3348" width="9" customWidth="1"/>
    <col min="3349" max="3349" width="5.28515625" customWidth="1"/>
    <col min="3350" max="3350" width="6" customWidth="1"/>
    <col min="3351" max="3351" width="5.140625" customWidth="1"/>
    <col min="3352" max="3352" width="5.28515625" customWidth="1"/>
    <col min="3353" max="3353" width="7.7109375" customWidth="1"/>
    <col min="3354" max="3354" width="4.85546875" customWidth="1"/>
    <col min="3355" max="3355" width="6.28515625" customWidth="1"/>
    <col min="3356" max="3356" width="5" customWidth="1"/>
    <col min="3357" max="3357" width="6.7109375" customWidth="1"/>
    <col min="3358" max="3358" width="4.5703125" customWidth="1"/>
    <col min="3359" max="3359" width="7.85546875" customWidth="1"/>
    <col min="3360" max="3360" width="5" customWidth="1"/>
    <col min="3361" max="3361" width="7.85546875" customWidth="1"/>
    <col min="3362" max="3362" width="4.42578125" customWidth="1"/>
    <col min="3363" max="3363" width="6.85546875" customWidth="1"/>
    <col min="3364" max="3364" width="4.140625" customWidth="1"/>
    <col min="3365" max="3371" width="7.42578125" customWidth="1"/>
    <col min="3372" max="3372" width="5.140625" customWidth="1"/>
    <col min="3373" max="3373" width="7.5703125" customWidth="1"/>
    <col min="3374" max="3374" width="4.140625" customWidth="1"/>
    <col min="3375" max="3375" width="6.7109375" customWidth="1"/>
    <col min="3376" max="3376" width="8.42578125" customWidth="1"/>
    <col min="3377" max="3377" width="10.140625" customWidth="1"/>
    <col min="3378" max="3378" width="14" customWidth="1"/>
    <col min="3379" max="3379" width="11.140625" customWidth="1"/>
    <col min="3380" max="3381" width="11.42578125" customWidth="1"/>
    <col min="3587" max="3587" width="3" customWidth="1"/>
    <col min="3588" max="3592" width="22" customWidth="1"/>
    <col min="3593" max="3593" width="7.140625" customWidth="1"/>
    <col min="3594" max="3595" width="6.140625" customWidth="1"/>
    <col min="3596" max="3599" width="6.85546875" customWidth="1"/>
    <col min="3600" max="3601" width="8" customWidth="1"/>
    <col min="3602" max="3602" width="9.7109375" customWidth="1"/>
    <col min="3603" max="3603" width="8.42578125" customWidth="1"/>
    <col min="3604" max="3604" width="9" customWidth="1"/>
    <col min="3605" max="3605" width="5.28515625" customWidth="1"/>
    <col min="3606" max="3606" width="6" customWidth="1"/>
    <col min="3607" max="3607" width="5.140625" customWidth="1"/>
    <col min="3608" max="3608" width="5.28515625" customWidth="1"/>
    <col min="3609" max="3609" width="7.7109375" customWidth="1"/>
    <col min="3610" max="3610" width="4.85546875" customWidth="1"/>
    <col min="3611" max="3611" width="6.28515625" customWidth="1"/>
    <col min="3612" max="3612" width="5" customWidth="1"/>
    <col min="3613" max="3613" width="6.7109375" customWidth="1"/>
    <col min="3614" max="3614" width="4.5703125" customWidth="1"/>
    <col min="3615" max="3615" width="7.85546875" customWidth="1"/>
    <col min="3616" max="3616" width="5" customWidth="1"/>
    <col min="3617" max="3617" width="7.85546875" customWidth="1"/>
    <col min="3618" max="3618" width="4.42578125" customWidth="1"/>
    <col min="3619" max="3619" width="6.85546875" customWidth="1"/>
    <col min="3620" max="3620" width="4.140625" customWidth="1"/>
    <col min="3621" max="3627" width="7.42578125" customWidth="1"/>
    <col min="3628" max="3628" width="5.140625" customWidth="1"/>
    <col min="3629" max="3629" width="7.5703125" customWidth="1"/>
    <col min="3630" max="3630" width="4.140625" customWidth="1"/>
    <col min="3631" max="3631" width="6.7109375" customWidth="1"/>
    <col min="3632" max="3632" width="8.42578125" customWidth="1"/>
    <col min="3633" max="3633" width="10.140625" customWidth="1"/>
    <col min="3634" max="3634" width="14" customWidth="1"/>
    <col min="3635" max="3635" width="11.140625" customWidth="1"/>
    <col min="3636" max="3637" width="11.42578125" customWidth="1"/>
    <col min="3843" max="3843" width="3" customWidth="1"/>
    <col min="3844" max="3848" width="22" customWidth="1"/>
    <col min="3849" max="3849" width="7.140625" customWidth="1"/>
    <col min="3850" max="3851" width="6.140625" customWidth="1"/>
    <col min="3852" max="3855" width="6.85546875" customWidth="1"/>
    <col min="3856" max="3857" width="8" customWidth="1"/>
    <col min="3858" max="3858" width="9.7109375" customWidth="1"/>
    <col min="3859" max="3859" width="8.42578125" customWidth="1"/>
    <col min="3860" max="3860" width="9" customWidth="1"/>
    <col min="3861" max="3861" width="5.28515625" customWidth="1"/>
    <col min="3862" max="3862" width="6" customWidth="1"/>
    <col min="3863" max="3863" width="5.140625" customWidth="1"/>
    <col min="3864" max="3864" width="5.28515625" customWidth="1"/>
    <col min="3865" max="3865" width="7.7109375" customWidth="1"/>
    <col min="3866" max="3866" width="4.85546875" customWidth="1"/>
    <col min="3867" max="3867" width="6.28515625" customWidth="1"/>
    <col min="3868" max="3868" width="5" customWidth="1"/>
    <col min="3869" max="3869" width="6.7109375" customWidth="1"/>
    <col min="3870" max="3870" width="4.5703125" customWidth="1"/>
    <col min="3871" max="3871" width="7.85546875" customWidth="1"/>
    <col min="3872" max="3872" width="5" customWidth="1"/>
    <col min="3873" max="3873" width="7.85546875" customWidth="1"/>
    <col min="3874" max="3874" width="4.42578125" customWidth="1"/>
    <col min="3875" max="3875" width="6.85546875" customWidth="1"/>
    <col min="3876" max="3876" width="4.140625" customWidth="1"/>
    <col min="3877" max="3883" width="7.42578125" customWidth="1"/>
    <col min="3884" max="3884" width="5.140625" customWidth="1"/>
    <col min="3885" max="3885" width="7.5703125" customWidth="1"/>
    <col min="3886" max="3886" width="4.140625" customWidth="1"/>
    <col min="3887" max="3887" width="6.7109375" customWidth="1"/>
    <col min="3888" max="3888" width="8.42578125" customWidth="1"/>
    <col min="3889" max="3889" width="10.140625" customWidth="1"/>
    <col min="3890" max="3890" width="14" customWidth="1"/>
    <col min="3891" max="3891" width="11.140625" customWidth="1"/>
    <col min="3892" max="3893" width="11.42578125" customWidth="1"/>
    <col min="4099" max="4099" width="3" customWidth="1"/>
    <col min="4100" max="4104" width="22" customWidth="1"/>
    <col min="4105" max="4105" width="7.140625" customWidth="1"/>
    <col min="4106" max="4107" width="6.140625" customWidth="1"/>
    <col min="4108" max="4111" width="6.85546875" customWidth="1"/>
    <col min="4112" max="4113" width="8" customWidth="1"/>
    <col min="4114" max="4114" width="9.7109375" customWidth="1"/>
    <col min="4115" max="4115" width="8.42578125" customWidth="1"/>
    <col min="4116" max="4116" width="9" customWidth="1"/>
    <col min="4117" max="4117" width="5.28515625" customWidth="1"/>
    <col min="4118" max="4118" width="6" customWidth="1"/>
    <col min="4119" max="4119" width="5.140625" customWidth="1"/>
    <col min="4120" max="4120" width="5.28515625" customWidth="1"/>
    <col min="4121" max="4121" width="7.7109375" customWidth="1"/>
    <col min="4122" max="4122" width="4.85546875" customWidth="1"/>
    <col min="4123" max="4123" width="6.28515625" customWidth="1"/>
    <col min="4124" max="4124" width="5" customWidth="1"/>
    <col min="4125" max="4125" width="6.7109375" customWidth="1"/>
    <col min="4126" max="4126" width="4.5703125" customWidth="1"/>
    <col min="4127" max="4127" width="7.85546875" customWidth="1"/>
    <col min="4128" max="4128" width="5" customWidth="1"/>
    <col min="4129" max="4129" width="7.85546875" customWidth="1"/>
    <col min="4130" max="4130" width="4.42578125" customWidth="1"/>
    <col min="4131" max="4131" width="6.85546875" customWidth="1"/>
    <col min="4132" max="4132" width="4.140625" customWidth="1"/>
    <col min="4133" max="4139" width="7.42578125" customWidth="1"/>
    <col min="4140" max="4140" width="5.140625" customWidth="1"/>
    <col min="4141" max="4141" width="7.5703125" customWidth="1"/>
    <col min="4142" max="4142" width="4.140625" customWidth="1"/>
    <col min="4143" max="4143" width="6.7109375" customWidth="1"/>
    <col min="4144" max="4144" width="8.42578125" customWidth="1"/>
    <col min="4145" max="4145" width="10.140625" customWidth="1"/>
    <col min="4146" max="4146" width="14" customWidth="1"/>
    <col min="4147" max="4147" width="11.140625" customWidth="1"/>
    <col min="4148" max="4149" width="11.42578125" customWidth="1"/>
    <col min="4355" max="4355" width="3" customWidth="1"/>
    <col min="4356" max="4360" width="22" customWidth="1"/>
    <col min="4361" max="4361" width="7.140625" customWidth="1"/>
    <col min="4362" max="4363" width="6.140625" customWidth="1"/>
    <col min="4364" max="4367" width="6.85546875" customWidth="1"/>
    <col min="4368" max="4369" width="8" customWidth="1"/>
    <col min="4370" max="4370" width="9.7109375" customWidth="1"/>
    <col min="4371" max="4371" width="8.42578125" customWidth="1"/>
    <col min="4372" max="4372" width="9" customWidth="1"/>
    <col min="4373" max="4373" width="5.28515625" customWidth="1"/>
    <col min="4374" max="4374" width="6" customWidth="1"/>
    <col min="4375" max="4375" width="5.140625" customWidth="1"/>
    <col min="4376" max="4376" width="5.28515625" customWidth="1"/>
    <col min="4377" max="4377" width="7.7109375" customWidth="1"/>
    <col min="4378" max="4378" width="4.85546875" customWidth="1"/>
    <col min="4379" max="4379" width="6.28515625" customWidth="1"/>
    <col min="4380" max="4380" width="5" customWidth="1"/>
    <col min="4381" max="4381" width="6.7109375" customWidth="1"/>
    <col min="4382" max="4382" width="4.5703125" customWidth="1"/>
    <col min="4383" max="4383" width="7.85546875" customWidth="1"/>
    <col min="4384" max="4384" width="5" customWidth="1"/>
    <col min="4385" max="4385" width="7.85546875" customWidth="1"/>
    <col min="4386" max="4386" width="4.42578125" customWidth="1"/>
    <col min="4387" max="4387" width="6.85546875" customWidth="1"/>
    <col min="4388" max="4388" width="4.140625" customWidth="1"/>
    <col min="4389" max="4395" width="7.42578125" customWidth="1"/>
    <col min="4396" max="4396" width="5.140625" customWidth="1"/>
    <col min="4397" max="4397" width="7.5703125" customWidth="1"/>
    <col min="4398" max="4398" width="4.140625" customWidth="1"/>
    <col min="4399" max="4399" width="6.7109375" customWidth="1"/>
    <col min="4400" max="4400" width="8.42578125" customWidth="1"/>
    <col min="4401" max="4401" width="10.140625" customWidth="1"/>
    <col min="4402" max="4402" width="14" customWidth="1"/>
    <col min="4403" max="4403" width="11.140625" customWidth="1"/>
    <col min="4404" max="4405" width="11.42578125" customWidth="1"/>
    <col min="4611" max="4611" width="3" customWidth="1"/>
    <col min="4612" max="4616" width="22" customWidth="1"/>
    <col min="4617" max="4617" width="7.140625" customWidth="1"/>
    <col min="4618" max="4619" width="6.140625" customWidth="1"/>
    <col min="4620" max="4623" width="6.85546875" customWidth="1"/>
    <col min="4624" max="4625" width="8" customWidth="1"/>
    <col min="4626" max="4626" width="9.7109375" customWidth="1"/>
    <col min="4627" max="4627" width="8.42578125" customWidth="1"/>
    <col min="4628" max="4628" width="9" customWidth="1"/>
    <col min="4629" max="4629" width="5.28515625" customWidth="1"/>
    <col min="4630" max="4630" width="6" customWidth="1"/>
    <col min="4631" max="4631" width="5.140625" customWidth="1"/>
    <col min="4632" max="4632" width="5.28515625" customWidth="1"/>
    <col min="4633" max="4633" width="7.7109375" customWidth="1"/>
    <col min="4634" max="4634" width="4.85546875" customWidth="1"/>
    <col min="4635" max="4635" width="6.28515625" customWidth="1"/>
    <col min="4636" max="4636" width="5" customWidth="1"/>
    <col min="4637" max="4637" width="6.7109375" customWidth="1"/>
    <col min="4638" max="4638" width="4.5703125" customWidth="1"/>
    <col min="4639" max="4639" width="7.85546875" customWidth="1"/>
    <col min="4640" max="4640" width="5" customWidth="1"/>
    <col min="4641" max="4641" width="7.85546875" customWidth="1"/>
    <col min="4642" max="4642" width="4.42578125" customWidth="1"/>
    <col min="4643" max="4643" width="6.85546875" customWidth="1"/>
    <col min="4644" max="4644" width="4.140625" customWidth="1"/>
    <col min="4645" max="4651" width="7.42578125" customWidth="1"/>
    <col min="4652" max="4652" width="5.140625" customWidth="1"/>
    <col min="4653" max="4653" width="7.5703125" customWidth="1"/>
    <col min="4654" max="4654" width="4.140625" customWidth="1"/>
    <col min="4655" max="4655" width="6.7109375" customWidth="1"/>
    <col min="4656" max="4656" width="8.42578125" customWidth="1"/>
    <col min="4657" max="4657" width="10.140625" customWidth="1"/>
    <col min="4658" max="4658" width="14" customWidth="1"/>
    <col min="4659" max="4659" width="11.140625" customWidth="1"/>
    <col min="4660" max="4661" width="11.42578125" customWidth="1"/>
    <col min="4867" max="4867" width="3" customWidth="1"/>
    <col min="4868" max="4872" width="22" customWidth="1"/>
    <col min="4873" max="4873" width="7.140625" customWidth="1"/>
    <col min="4874" max="4875" width="6.140625" customWidth="1"/>
    <col min="4876" max="4879" width="6.85546875" customWidth="1"/>
    <col min="4880" max="4881" width="8" customWidth="1"/>
    <col min="4882" max="4882" width="9.7109375" customWidth="1"/>
    <col min="4883" max="4883" width="8.42578125" customWidth="1"/>
    <col min="4884" max="4884" width="9" customWidth="1"/>
    <col min="4885" max="4885" width="5.28515625" customWidth="1"/>
    <col min="4886" max="4886" width="6" customWidth="1"/>
    <col min="4887" max="4887" width="5.140625" customWidth="1"/>
    <col min="4888" max="4888" width="5.28515625" customWidth="1"/>
    <col min="4889" max="4889" width="7.7109375" customWidth="1"/>
    <col min="4890" max="4890" width="4.85546875" customWidth="1"/>
    <col min="4891" max="4891" width="6.28515625" customWidth="1"/>
    <col min="4892" max="4892" width="5" customWidth="1"/>
    <col min="4893" max="4893" width="6.7109375" customWidth="1"/>
    <col min="4894" max="4894" width="4.5703125" customWidth="1"/>
    <col min="4895" max="4895" width="7.85546875" customWidth="1"/>
    <col min="4896" max="4896" width="5" customWidth="1"/>
    <col min="4897" max="4897" width="7.85546875" customWidth="1"/>
    <col min="4898" max="4898" width="4.42578125" customWidth="1"/>
    <col min="4899" max="4899" width="6.85546875" customWidth="1"/>
    <col min="4900" max="4900" width="4.140625" customWidth="1"/>
    <col min="4901" max="4907" width="7.42578125" customWidth="1"/>
    <col min="4908" max="4908" width="5.140625" customWidth="1"/>
    <col min="4909" max="4909" width="7.5703125" customWidth="1"/>
    <col min="4910" max="4910" width="4.140625" customWidth="1"/>
    <col min="4911" max="4911" width="6.7109375" customWidth="1"/>
    <col min="4912" max="4912" width="8.42578125" customWidth="1"/>
    <col min="4913" max="4913" width="10.140625" customWidth="1"/>
    <col min="4914" max="4914" width="14" customWidth="1"/>
    <col min="4915" max="4915" width="11.140625" customWidth="1"/>
    <col min="4916" max="4917" width="11.42578125" customWidth="1"/>
    <col min="5123" max="5123" width="3" customWidth="1"/>
    <col min="5124" max="5128" width="22" customWidth="1"/>
    <col min="5129" max="5129" width="7.140625" customWidth="1"/>
    <col min="5130" max="5131" width="6.140625" customWidth="1"/>
    <col min="5132" max="5135" width="6.85546875" customWidth="1"/>
    <col min="5136" max="5137" width="8" customWidth="1"/>
    <col min="5138" max="5138" width="9.7109375" customWidth="1"/>
    <col min="5139" max="5139" width="8.42578125" customWidth="1"/>
    <col min="5140" max="5140" width="9" customWidth="1"/>
    <col min="5141" max="5141" width="5.28515625" customWidth="1"/>
    <col min="5142" max="5142" width="6" customWidth="1"/>
    <col min="5143" max="5143" width="5.140625" customWidth="1"/>
    <col min="5144" max="5144" width="5.28515625" customWidth="1"/>
    <col min="5145" max="5145" width="7.7109375" customWidth="1"/>
    <col min="5146" max="5146" width="4.85546875" customWidth="1"/>
    <col min="5147" max="5147" width="6.28515625" customWidth="1"/>
    <col min="5148" max="5148" width="5" customWidth="1"/>
    <col min="5149" max="5149" width="6.7109375" customWidth="1"/>
    <col min="5150" max="5150" width="4.5703125" customWidth="1"/>
    <col min="5151" max="5151" width="7.85546875" customWidth="1"/>
    <col min="5152" max="5152" width="5" customWidth="1"/>
    <col min="5153" max="5153" width="7.85546875" customWidth="1"/>
    <col min="5154" max="5154" width="4.42578125" customWidth="1"/>
    <col min="5155" max="5155" width="6.85546875" customWidth="1"/>
    <col min="5156" max="5156" width="4.140625" customWidth="1"/>
    <col min="5157" max="5163" width="7.42578125" customWidth="1"/>
    <col min="5164" max="5164" width="5.140625" customWidth="1"/>
    <col min="5165" max="5165" width="7.5703125" customWidth="1"/>
    <col min="5166" max="5166" width="4.140625" customWidth="1"/>
    <col min="5167" max="5167" width="6.7109375" customWidth="1"/>
    <col min="5168" max="5168" width="8.42578125" customWidth="1"/>
    <col min="5169" max="5169" width="10.140625" customWidth="1"/>
    <col min="5170" max="5170" width="14" customWidth="1"/>
    <col min="5171" max="5171" width="11.140625" customWidth="1"/>
    <col min="5172" max="5173" width="11.42578125" customWidth="1"/>
    <col min="5379" max="5379" width="3" customWidth="1"/>
    <col min="5380" max="5384" width="22" customWidth="1"/>
    <col min="5385" max="5385" width="7.140625" customWidth="1"/>
    <col min="5386" max="5387" width="6.140625" customWidth="1"/>
    <col min="5388" max="5391" width="6.85546875" customWidth="1"/>
    <col min="5392" max="5393" width="8" customWidth="1"/>
    <col min="5394" max="5394" width="9.7109375" customWidth="1"/>
    <col min="5395" max="5395" width="8.42578125" customWidth="1"/>
    <col min="5396" max="5396" width="9" customWidth="1"/>
    <col min="5397" max="5397" width="5.28515625" customWidth="1"/>
    <col min="5398" max="5398" width="6" customWidth="1"/>
    <col min="5399" max="5399" width="5.140625" customWidth="1"/>
    <col min="5400" max="5400" width="5.28515625" customWidth="1"/>
    <col min="5401" max="5401" width="7.7109375" customWidth="1"/>
    <col min="5402" max="5402" width="4.85546875" customWidth="1"/>
    <col min="5403" max="5403" width="6.28515625" customWidth="1"/>
    <col min="5404" max="5404" width="5" customWidth="1"/>
    <col min="5405" max="5405" width="6.7109375" customWidth="1"/>
    <col min="5406" max="5406" width="4.5703125" customWidth="1"/>
    <col min="5407" max="5407" width="7.85546875" customWidth="1"/>
    <col min="5408" max="5408" width="5" customWidth="1"/>
    <col min="5409" max="5409" width="7.85546875" customWidth="1"/>
    <col min="5410" max="5410" width="4.42578125" customWidth="1"/>
    <col min="5411" max="5411" width="6.85546875" customWidth="1"/>
    <col min="5412" max="5412" width="4.140625" customWidth="1"/>
    <col min="5413" max="5419" width="7.42578125" customWidth="1"/>
    <col min="5420" max="5420" width="5.140625" customWidth="1"/>
    <col min="5421" max="5421" width="7.5703125" customWidth="1"/>
    <col min="5422" max="5422" width="4.140625" customWidth="1"/>
    <col min="5423" max="5423" width="6.7109375" customWidth="1"/>
    <col min="5424" max="5424" width="8.42578125" customWidth="1"/>
    <col min="5425" max="5425" width="10.140625" customWidth="1"/>
    <col min="5426" max="5426" width="14" customWidth="1"/>
    <col min="5427" max="5427" width="11.140625" customWidth="1"/>
    <col min="5428" max="5429" width="11.42578125" customWidth="1"/>
    <col min="5635" max="5635" width="3" customWidth="1"/>
    <col min="5636" max="5640" width="22" customWidth="1"/>
    <col min="5641" max="5641" width="7.140625" customWidth="1"/>
    <col min="5642" max="5643" width="6.140625" customWidth="1"/>
    <col min="5644" max="5647" width="6.85546875" customWidth="1"/>
    <col min="5648" max="5649" width="8" customWidth="1"/>
    <col min="5650" max="5650" width="9.7109375" customWidth="1"/>
    <col min="5651" max="5651" width="8.42578125" customWidth="1"/>
    <col min="5652" max="5652" width="9" customWidth="1"/>
    <col min="5653" max="5653" width="5.28515625" customWidth="1"/>
    <col min="5654" max="5654" width="6" customWidth="1"/>
    <col min="5655" max="5655" width="5.140625" customWidth="1"/>
    <col min="5656" max="5656" width="5.28515625" customWidth="1"/>
    <col min="5657" max="5657" width="7.7109375" customWidth="1"/>
    <col min="5658" max="5658" width="4.85546875" customWidth="1"/>
    <col min="5659" max="5659" width="6.28515625" customWidth="1"/>
    <col min="5660" max="5660" width="5" customWidth="1"/>
    <col min="5661" max="5661" width="6.7109375" customWidth="1"/>
    <col min="5662" max="5662" width="4.5703125" customWidth="1"/>
    <col min="5663" max="5663" width="7.85546875" customWidth="1"/>
    <col min="5664" max="5664" width="5" customWidth="1"/>
    <col min="5665" max="5665" width="7.85546875" customWidth="1"/>
    <col min="5666" max="5666" width="4.42578125" customWidth="1"/>
    <col min="5667" max="5667" width="6.85546875" customWidth="1"/>
    <col min="5668" max="5668" width="4.140625" customWidth="1"/>
    <col min="5669" max="5675" width="7.42578125" customWidth="1"/>
    <col min="5676" max="5676" width="5.140625" customWidth="1"/>
    <col min="5677" max="5677" width="7.5703125" customWidth="1"/>
    <col min="5678" max="5678" width="4.140625" customWidth="1"/>
    <col min="5679" max="5679" width="6.7109375" customWidth="1"/>
    <col min="5680" max="5680" width="8.42578125" customWidth="1"/>
    <col min="5681" max="5681" width="10.140625" customWidth="1"/>
    <col min="5682" max="5682" width="14" customWidth="1"/>
    <col min="5683" max="5683" width="11.140625" customWidth="1"/>
    <col min="5684" max="5685" width="11.42578125" customWidth="1"/>
    <col min="5891" max="5891" width="3" customWidth="1"/>
    <col min="5892" max="5896" width="22" customWidth="1"/>
    <col min="5897" max="5897" width="7.140625" customWidth="1"/>
    <col min="5898" max="5899" width="6.140625" customWidth="1"/>
    <col min="5900" max="5903" width="6.85546875" customWidth="1"/>
    <col min="5904" max="5905" width="8" customWidth="1"/>
    <col min="5906" max="5906" width="9.7109375" customWidth="1"/>
    <col min="5907" max="5907" width="8.42578125" customWidth="1"/>
    <col min="5908" max="5908" width="9" customWidth="1"/>
    <col min="5909" max="5909" width="5.28515625" customWidth="1"/>
    <col min="5910" max="5910" width="6" customWidth="1"/>
    <col min="5911" max="5911" width="5.140625" customWidth="1"/>
    <col min="5912" max="5912" width="5.28515625" customWidth="1"/>
    <col min="5913" max="5913" width="7.7109375" customWidth="1"/>
    <col min="5914" max="5914" width="4.85546875" customWidth="1"/>
    <col min="5915" max="5915" width="6.28515625" customWidth="1"/>
    <col min="5916" max="5916" width="5" customWidth="1"/>
    <col min="5917" max="5917" width="6.7109375" customWidth="1"/>
    <col min="5918" max="5918" width="4.5703125" customWidth="1"/>
    <col min="5919" max="5919" width="7.85546875" customWidth="1"/>
    <col min="5920" max="5920" width="5" customWidth="1"/>
    <col min="5921" max="5921" width="7.85546875" customWidth="1"/>
    <col min="5922" max="5922" width="4.42578125" customWidth="1"/>
    <col min="5923" max="5923" width="6.85546875" customWidth="1"/>
    <col min="5924" max="5924" width="4.140625" customWidth="1"/>
    <col min="5925" max="5931" width="7.42578125" customWidth="1"/>
    <col min="5932" max="5932" width="5.140625" customWidth="1"/>
    <col min="5933" max="5933" width="7.5703125" customWidth="1"/>
    <col min="5934" max="5934" width="4.140625" customWidth="1"/>
    <col min="5935" max="5935" width="6.7109375" customWidth="1"/>
    <col min="5936" max="5936" width="8.42578125" customWidth="1"/>
    <col min="5937" max="5937" width="10.140625" customWidth="1"/>
    <col min="5938" max="5938" width="14" customWidth="1"/>
    <col min="5939" max="5939" width="11.140625" customWidth="1"/>
    <col min="5940" max="5941" width="11.42578125" customWidth="1"/>
    <col min="6147" max="6147" width="3" customWidth="1"/>
    <col min="6148" max="6152" width="22" customWidth="1"/>
    <col min="6153" max="6153" width="7.140625" customWidth="1"/>
    <col min="6154" max="6155" width="6.140625" customWidth="1"/>
    <col min="6156" max="6159" width="6.85546875" customWidth="1"/>
    <col min="6160" max="6161" width="8" customWidth="1"/>
    <col min="6162" max="6162" width="9.7109375" customWidth="1"/>
    <col min="6163" max="6163" width="8.42578125" customWidth="1"/>
    <col min="6164" max="6164" width="9" customWidth="1"/>
    <col min="6165" max="6165" width="5.28515625" customWidth="1"/>
    <col min="6166" max="6166" width="6" customWidth="1"/>
    <col min="6167" max="6167" width="5.140625" customWidth="1"/>
    <col min="6168" max="6168" width="5.28515625" customWidth="1"/>
    <col min="6169" max="6169" width="7.7109375" customWidth="1"/>
    <col min="6170" max="6170" width="4.85546875" customWidth="1"/>
    <col min="6171" max="6171" width="6.28515625" customWidth="1"/>
    <col min="6172" max="6172" width="5" customWidth="1"/>
    <col min="6173" max="6173" width="6.7109375" customWidth="1"/>
    <col min="6174" max="6174" width="4.5703125" customWidth="1"/>
    <col min="6175" max="6175" width="7.85546875" customWidth="1"/>
    <col min="6176" max="6176" width="5" customWidth="1"/>
    <col min="6177" max="6177" width="7.85546875" customWidth="1"/>
    <col min="6178" max="6178" width="4.42578125" customWidth="1"/>
    <col min="6179" max="6179" width="6.85546875" customWidth="1"/>
    <col min="6180" max="6180" width="4.140625" customWidth="1"/>
    <col min="6181" max="6187" width="7.42578125" customWidth="1"/>
    <col min="6188" max="6188" width="5.140625" customWidth="1"/>
    <col min="6189" max="6189" width="7.5703125" customWidth="1"/>
    <col min="6190" max="6190" width="4.140625" customWidth="1"/>
    <col min="6191" max="6191" width="6.7109375" customWidth="1"/>
    <col min="6192" max="6192" width="8.42578125" customWidth="1"/>
    <col min="6193" max="6193" width="10.140625" customWidth="1"/>
    <col min="6194" max="6194" width="14" customWidth="1"/>
    <col min="6195" max="6195" width="11.140625" customWidth="1"/>
    <col min="6196" max="6197" width="11.42578125" customWidth="1"/>
    <col min="6403" max="6403" width="3" customWidth="1"/>
    <col min="6404" max="6408" width="22" customWidth="1"/>
    <col min="6409" max="6409" width="7.140625" customWidth="1"/>
    <col min="6410" max="6411" width="6.140625" customWidth="1"/>
    <col min="6412" max="6415" width="6.85546875" customWidth="1"/>
    <col min="6416" max="6417" width="8" customWidth="1"/>
    <col min="6418" max="6418" width="9.7109375" customWidth="1"/>
    <col min="6419" max="6419" width="8.42578125" customWidth="1"/>
    <col min="6420" max="6420" width="9" customWidth="1"/>
    <col min="6421" max="6421" width="5.28515625" customWidth="1"/>
    <col min="6422" max="6422" width="6" customWidth="1"/>
    <col min="6423" max="6423" width="5.140625" customWidth="1"/>
    <col min="6424" max="6424" width="5.28515625" customWidth="1"/>
    <col min="6425" max="6425" width="7.7109375" customWidth="1"/>
    <col min="6426" max="6426" width="4.85546875" customWidth="1"/>
    <col min="6427" max="6427" width="6.28515625" customWidth="1"/>
    <col min="6428" max="6428" width="5" customWidth="1"/>
    <col min="6429" max="6429" width="6.7109375" customWidth="1"/>
    <col min="6430" max="6430" width="4.5703125" customWidth="1"/>
    <col min="6431" max="6431" width="7.85546875" customWidth="1"/>
    <col min="6432" max="6432" width="5" customWidth="1"/>
    <col min="6433" max="6433" width="7.85546875" customWidth="1"/>
    <col min="6434" max="6434" width="4.42578125" customWidth="1"/>
    <col min="6435" max="6435" width="6.85546875" customWidth="1"/>
    <col min="6436" max="6436" width="4.140625" customWidth="1"/>
    <col min="6437" max="6443" width="7.42578125" customWidth="1"/>
    <col min="6444" max="6444" width="5.140625" customWidth="1"/>
    <col min="6445" max="6445" width="7.5703125" customWidth="1"/>
    <col min="6446" max="6446" width="4.140625" customWidth="1"/>
    <col min="6447" max="6447" width="6.7109375" customWidth="1"/>
    <col min="6448" max="6448" width="8.42578125" customWidth="1"/>
    <col min="6449" max="6449" width="10.140625" customWidth="1"/>
    <col min="6450" max="6450" width="14" customWidth="1"/>
    <col min="6451" max="6451" width="11.140625" customWidth="1"/>
    <col min="6452" max="6453" width="11.42578125" customWidth="1"/>
    <col min="6659" max="6659" width="3" customWidth="1"/>
    <col min="6660" max="6664" width="22" customWidth="1"/>
    <col min="6665" max="6665" width="7.140625" customWidth="1"/>
    <col min="6666" max="6667" width="6.140625" customWidth="1"/>
    <col min="6668" max="6671" width="6.85546875" customWidth="1"/>
    <col min="6672" max="6673" width="8" customWidth="1"/>
    <col min="6674" max="6674" width="9.7109375" customWidth="1"/>
    <col min="6675" max="6675" width="8.42578125" customWidth="1"/>
    <col min="6676" max="6676" width="9" customWidth="1"/>
    <col min="6677" max="6677" width="5.28515625" customWidth="1"/>
    <col min="6678" max="6678" width="6" customWidth="1"/>
    <col min="6679" max="6679" width="5.140625" customWidth="1"/>
    <col min="6680" max="6680" width="5.28515625" customWidth="1"/>
    <col min="6681" max="6681" width="7.7109375" customWidth="1"/>
    <col min="6682" max="6682" width="4.85546875" customWidth="1"/>
    <col min="6683" max="6683" width="6.28515625" customWidth="1"/>
    <col min="6684" max="6684" width="5" customWidth="1"/>
    <col min="6685" max="6685" width="6.7109375" customWidth="1"/>
    <col min="6686" max="6686" width="4.5703125" customWidth="1"/>
    <col min="6687" max="6687" width="7.85546875" customWidth="1"/>
    <col min="6688" max="6688" width="5" customWidth="1"/>
    <col min="6689" max="6689" width="7.85546875" customWidth="1"/>
    <col min="6690" max="6690" width="4.42578125" customWidth="1"/>
    <col min="6691" max="6691" width="6.85546875" customWidth="1"/>
    <col min="6692" max="6692" width="4.140625" customWidth="1"/>
    <col min="6693" max="6699" width="7.42578125" customWidth="1"/>
    <col min="6700" max="6700" width="5.140625" customWidth="1"/>
    <col min="6701" max="6701" width="7.5703125" customWidth="1"/>
    <col min="6702" max="6702" width="4.140625" customWidth="1"/>
    <col min="6703" max="6703" width="6.7109375" customWidth="1"/>
    <col min="6704" max="6704" width="8.42578125" customWidth="1"/>
    <col min="6705" max="6705" width="10.140625" customWidth="1"/>
    <col min="6706" max="6706" width="14" customWidth="1"/>
    <col min="6707" max="6707" width="11.140625" customWidth="1"/>
    <col min="6708" max="6709" width="11.42578125" customWidth="1"/>
    <col min="6915" max="6915" width="3" customWidth="1"/>
    <col min="6916" max="6920" width="22" customWidth="1"/>
    <col min="6921" max="6921" width="7.140625" customWidth="1"/>
    <col min="6922" max="6923" width="6.140625" customWidth="1"/>
    <col min="6924" max="6927" width="6.85546875" customWidth="1"/>
    <col min="6928" max="6929" width="8" customWidth="1"/>
    <col min="6930" max="6930" width="9.7109375" customWidth="1"/>
    <col min="6931" max="6931" width="8.42578125" customWidth="1"/>
    <col min="6932" max="6932" width="9" customWidth="1"/>
    <col min="6933" max="6933" width="5.28515625" customWidth="1"/>
    <col min="6934" max="6934" width="6" customWidth="1"/>
    <col min="6935" max="6935" width="5.140625" customWidth="1"/>
    <col min="6936" max="6936" width="5.28515625" customWidth="1"/>
    <col min="6937" max="6937" width="7.7109375" customWidth="1"/>
    <col min="6938" max="6938" width="4.85546875" customWidth="1"/>
    <col min="6939" max="6939" width="6.28515625" customWidth="1"/>
    <col min="6940" max="6940" width="5" customWidth="1"/>
    <col min="6941" max="6941" width="6.7109375" customWidth="1"/>
    <col min="6942" max="6942" width="4.5703125" customWidth="1"/>
    <col min="6943" max="6943" width="7.85546875" customWidth="1"/>
    <col min="6944" max="6944" width="5" customWidth="1"/>
    <col min="6945" max="6945" width="7.85546875" customWidth="1"/>
    <col min="6946" max="6946" width="4.42578125" customWidth="1"/>
    <col min="6947" max="6947" width="6.85546875" customWidth="1"/>
    <col min="6948" max="6948" width="4.140625" customWidth="1"/>
    <col min="6949" max="6955" width="7.42578125" customWidth="1"/>
    <col min="6956" max="6956" width="5.140625" customWidth="1"/>
    <col min="6957" max="6957" width="7.5703125" customWidth="1"/>
    <col min="6958" max="6958" width="4.140625" customWidth="1"/>
    <col min="6959" max="6959" width="6.7109375" customWidth="1"/>
    <col min="6960" max="6960" width="8.42578125" customWidth="1"/>
    <col min="6961" max="6961" width="10.140625" customWidth="1"/>
    <col min="6962" max="6962" width="14" customWidth="1"/>
    <col min="6963" max="6963" width="11.140625" customWidth="1"/>
    <col min="6964" max="6965" width="11.42578125" customWidth="1"/>
    <col min="7171" max="7171" width="3" customWidth="1"/>
    <col min="7172" max="7176" width="22" customWidth="1"/>
    <col min="7177" max="7177" width="7.140625" customWidth="1"/>
    <col min="7178" max="7179" width="6.140625" customWidth="1"/>
    <col min="7180" max="7183" width="6.85546875" customWidth="1"/>
    <col min="7184" max="7185" width="8" customWidth="1"/>
    <col min="7186" max="7186" width="9.7109375" customWidth="1"/>
    <col min="7187" max="7187" width="8.42578125" customWidth="1"/>
    <col min="7188" max="7188" width="9" customWidth="1"/>
    <col min="7189" max="7189" width="5.28515625" customWidth="1"/>
    <col min="7190" max="7190" width="6" customWidth="1"/>
    <col min="7191" max="7191" width="5.140625" customWidth="1"/>
    <col min="7192" max="7192" width="5.28515625" customWidth="1"/>
    <col min="7193" max="7193" width="7.7109375" customWidth="1"/>
    <col min="7194" max="7194" width="4.85546875" customWidth="1"/>
    <col min="7195" max="7195" width="6.28515625" customWidth="1"/>
    <col min="7196" max="7196" width="5" customWidth="1"/>
    <col min="7197" max="7197" width="6.7109375" customWidth="1"/>
    <col min="7198" max="7198" width="4.5703125" customWidth="1"/>
    <col min="7199" max="7199" width="7.85546875" customWidth="1"/>
    <col min="7200" max="7200" width="5" customWidth="1"/>
    <col min="7201" max="7201" width="7.85546875" customWidth="1"/>
    <col min="7202" max="7202" width="4.42578125" customWidth="1"/>
    <col min="7203" max="7203" width="6.85546875" customWidth="1"/>
    <col min="7204" max="7204" width="4.140625" customWidth="1"/>
    <col min="7205" max="7211" width="7.42578125" customWidth="1"/>
    <col min="7212" max="7212" width="5.140625" customWidth="1"/>
    <col min="7213" max="7213" width="7.5703125" customWidth="1"/>
    <col min="7214" max="7214" width="4.140625" customWidth="1"/>
    <col min="7215" max="7215" width="6.7109375" customWidth="1"/>
    <col min="7216" max="7216" width="8.42578125" customWidth="1"/>
    <col min="7217" max="7217" width="10.140625" customWidth="1"/>
    <col min="7218" max="7218" width="14" customWidth="1"/>
    <col min="7219" max="7219" width="11.140625" customWidth="1"/>
    <col min="7220" max="7221" width="11.42578125" customWidth="1"/>
    <col min="7427" max="7427" width="3" customWidth="1"/>
    <col min="7428" max="7432" width="22" customWidth="1"/>
    <col min="7433" max="7433" width="7.140625" customWidth="1"/>
    <col min="7434" max="7435" width="6.140625" customWidth="1"/>
    <col min="7436" max="7439" width="6.85546875" customWidth="1"/>
    <col min="7440" max="7441" width="8" customWidth="1"/>
    <col min="7442" max="7442" width="9.7109375" customWidth="1"/>
    <col min="7443" max="7443" width="8.42578125" customWidth="1"/>
    <col min="7444" max="7444" width="9" customWidth="1"/>
    <col min="7445" max="7445" width="5.28515625" customWidth="1"/>
    <col min="7446" max="7446" width="6" customWidth="1"/>
    <col min="7447" max="7447" width="5.140625" customWidth="1"/>
    <col min="7448" max="7448" width="5.28515625" customWidth="1"/>
    <col min="7449" max="7449" width="7.7109375" customWidth="1"/>
    <col min="7450" max="7450" width="4.85546875" customWidth="1"/>
    <col min="7451" max="7451" width="6.28515625" customWidth="1"/>
    <col min="7452" max="7452" width="5" customWidth="1"/>
    <col min="7453" max="7453" width="6.7109375" customWidth="1"/>
    <col min="7454" max="7454" width="4.5703125" customWidth="1"/>
    <col min="7455" max="7455" width="7.85546875" customWidth="1"/>
    <col min="7456" max="7456" width="5" customWidth="1"/>
    <col min="7457" max="7457" width="7.85546875" customWidth="1"/>
    <col min="7458" max="7458" width="4.42578125" customWidth="1"/>
    <col min="7459" max="7459" width="6.85546875" customWidth="1"/>
    <col min="7460" max="7460" width="4.140625" customWidth="1"/>
    <col min="7461" max="7467" width="7.42578125" customWidth="1"/>
    <col min="7468" max="7468" width="5.140625" customWidth="1"/>
    <col min="7469" max="7469" width="7.5703125" customWidth="1"/>
    <col min="7470" max="7470" width="4.140625" customWidth="1"/>
    <col min="7471" max="7471" width="6.7109375" customWidth="1"/>
    <col min="7472" max="7472" width="8.42578125" customWidth="1"/>
    <col min="7473" max="7473" width="10.140625" customWidth="1"/>
    <col min="7474" max="7474" width="14" customWidth="1"/>
    <col min="7475" max="7475" width="11.140625" customWidth="1"/>
    <col min="7476" max="7477" width="11.42578125" customWidth="1"/>
    <col min="7683" max="7683" width="3" customWidth="1"/>
    <col min="7684" max="7688" width="22" customWidth="1"/>
    <col min="7689" max="7689" width="7.140625" customWidth="1"/>
    <col min="7690" max="7691" width="6.140625" customWidth="1"/>
    <col min="7692" max="7695" width="6.85546875" customWidth="1"/>
    <col min="7696" max="7697" width="8" customWidth="1"/>
    <col min="7698" max="7698" width="9.7109375" customWidth="1"/>
    <col min="7699" max="7699" width="8.42578125" customWidth="1"/>
    <col min="7700" max="7700" width="9" customWidth="1"/>
    <col min="7701" max="7701" width="5.28515625" customWidth="1"/>
    <col min="7702" max="7702" width="6" customWidth="1"/>
    <col min="7703" max="7703" width="5.140625" customWidth="1"/>
    <col min="7704" max="7704" width="5.28515625" customWidth="1"/>
    <col min="7705" max="7705" width="7.7109375" customWidth="1"/>
    <col min="7706" max="7706" width="4.85546875" customWidth="1"/>
    <col min="7707" max="7707" width="6.28515625" customWidth="1"/>
    <col min="7708" max="7708" width="5" customWidth="1"/>
    <col min="7709" max="7709" width="6.7109375" customWidth="1"/>
    <col min="7710" max="7710" width="4.5703125" customWidth="1"/>
    <col min="7711" max="7711" width="7.85546875" customWidth="1"/>
    <col min="7712" max="7712" width="5" customWidth="1"/>
    <col min="7713" max="7713" width="7.85546875" customWidth="1"/>
    <col min="7714" max="7714" width="4.42578125" customWidth="1"/>
    <col min="7715" max="7715" width="6.85546875" customWidth="1"/>
    <col min="7716" max="7716" width="4.140625" customWidth="1"/>
    <col min="7717" max="7723" width="7.42578125" customWidth="1"/>
    <col min="7724" max="7724" width="5.140625" customWidth="1"/>
    <col min="7725" max="7725" width="7.5703125" customWidth="1"/>
    <col min="7726" max="7726" width="4.140625" customWidth="1"/>
    <col min="7727" max="7727" width="6.7109375" customWidth="1"/>
    <col min="7728" max="7728" width="8.42578125" customWidth="1"/>
    <col min="7729" max="7729" width="10.140625" customWidth="1"/>
    <col min="7730" max="7730" width="14" customWidth="1"/>
    <col min="7731" max="7731" width="11.140625" customWidth="1"/>
    <col min="7732" max="7733" width="11.42578125" customWidth="1"/>
    <col min="7939" max="7939" width="3" customWidth="1"/>
    <col min="7940" max="7944" width="22" customWidth="1"/>
    <col min="7945" max="7945" width="7.140625" customWidth="1"/>
    <col min="7946" max="7947" width="6.140625" customWidth="1"/>
    <col min="7948" max="7951" width="6.85546875" customWidth="1"/>
    <col min="7952" max="7953" width="8" customWidth="1"/>
    <col min="7954" max="7954" width="9.7109375" customWidth="1"/>
    <col min="7955" max="7955" width="8.42578125" customWidth="1"/>
    <col min="7956" max="7956" width="9" customWidth="1"/>
    <col min="7957" max="7957" width="5.28515625" customWidth="1"/>
    <col min="7958" max="7958" width="6" customWidth="1"/>
    <col min="7959" max="7959" width="5.140625" customWidth="1"/>
    <col min="7960" max="7960" width="5.28515625" customWidth="1"/>
    <col min="7961" max="7961" width="7.7109375" customWidth="1"/>
    <col min="7962" max="7962" width="4.85546875" customWidth="1"/>
    <col min="7963" max="7963" width="6.28515625" customWidth="1"/>
    <col min="7964" max="7964" width="5" customWidth="1"/>
    <col min="7965" max="7965" width="6.7109375" customWidth="1"/>
    <col min="7966" max="7966" width="4.5703125" customWidth="1"/>
    <col min="7967" max="7967" width="7.85546875" customWidth="1"/>
    <col min="7968" max="7968" width="5" customWidth="1"/>
    <col min="7969" max="7969" width="7.85546875" customWidth="1"/>
    <col min="7970" max="7970" width="4.42578125" customWidth="1"/>
    <col min="7971" max="7971" width="6.85546875" customWidth="1"/>
    <col min="7972" max="7972" width="4.140625" customWidth="1"/>
    <col min="7973" max="7979" width="7.42578125" customWidth="1"/>
    <col min="7980" max="7980" width="5.140625" customWidth="1"/>
    <col min="7981" max="7981" width="7.5703125" customWidth="1"/>
    <col min="7982" max="7982" width="4.140625" customWidth="1"/>
    <col min="7983" max="7983" width="6.7109375" customWidth="1"/>
    <col min="7984" max="7984" width="8.42578125" customWidth="1"/>
    <col min="7985" max="7985" width="10.140625" customWidth="1"/>
    <col min="7986" max="7986" width="14" customWidth="1"/>
    <col min="7987" max="7987" width="11.140625" customWidth="1"/>
    <col min="7988" max="7989" width="11.42578125" customWidth="1"/>
    <col min="8195" max="8195" width="3" customWidth="1"/>
    <col min="8196" max="8200" width="22" customWidth="1"/>
    <col min="8201" max="8201" width="7.140625" customWidth="1"/>
    <col min="8202" max="8203" width="6.140625" customWidth="1"/>
    <col min="8204" max="8207" width="6.85546875" customWidth="1"/>
    <col min="8208" max="8209" width="8" customWidth="1"/>
    <col min="8210" max="8210" width="9.7109375" customWidth="1"/>
    <col min="8211" max="8211" width="8.42578125" customWidth="1"/>
    <col min="8212" max="8212" width="9" customWidth="1"/>
    <col min="8213" max="8213" width="5.28515625" customWidth="1"/>
    <col min="8214" max="8214" width="6" customWidth="1"/>
    <col min="8215" max="8215" width="5.140625" customWidth="1"/>
    <col min="8216" max="8216" width="5.28515625" customWidth="1"/>
    <col min="8217" max="8217" width="7.7109375" customWidth="1"/>
    <col min="8218" max="8218" width="4.85546875" customWidth="1"/>
    <col min="8219" max="8219" width="6.28515625" customWidth="1"/>
    <col min="8220" max="8220" width="5" customWidth="1"/>
    <col min="8221" max="8221" width="6.7109375" customWidth="1"/>
    <col min="8222" max="8222" width="4.5703125" customWidth="1"/>
    <col min="8223" max="8223" width="7.85546875" customWidth="1"/>
    <col min="8224" max="8224" width="5" customWidth="1"/>
    <col min="8225" max="8225" width="7.85546875" customWidth="1"/>
    <col min="8226" max="8226" width="4.42578125" customWidth="1"/>
    <col min="8227" max="8227" width="6.85546875" customWidth="1"/>
    <col min="8228" max="8228" width="4.140625" customWidth="1"/>
    <col min="8229" max="8235" width="7.42578125" customWidth="1"/>
    <col min="8236" max="8236" width="5.140625" customWidth="1"/>
    <col min="8237" max="8237" width="7.5703125" customWidth="1"/>
    <col min="8238" max="8238" width="4.140625" customWidth="1"/>
    <col min="8239" max="8239" width="6.7109375" customWidth="1"/>
    <col min="8240" max="8240" width="8.42578125" customWidth="1"/>
    <col min="8241" max="8241" width="10.140625" customWidth="1"/>
    <col min="8242" max="8242" width="14" customWidth="1"/>
    <col min="8243" max="8243" width="11.140625" customWidth="1"/>
    <col min="8244" max="8245" width="11.42578125" customWidth="1"/>
    <col min="8451" max="8451" width="3" customWidth="1"/>
    <col min="8452" max="8456" width="22" customWidth="1"/>
    <col min="8457" max="8457" width="7.140625" customWidth="1"/>
    <col min="8458" max="8459" width="6.140625" customWidth="1"/>
    <col min="8460" max="8463" width="6.85546875" customWidth="1"/>
    <col min="8464" max="8465" width="8" customWidth="1"/>
    <col min="8466" max="8466" width="9.7109375" customWidth="1"/>
    <col min="8467" max="8467" width="8.42578125" customWidth="1"/>
    <col min="8468" max="8468" width="9" customWidth="1"/>
    <col min="8469" max="8469" width="5.28515625" customWidth="1"/>
    <col min="8470" max="8470" width="6" customWidth="1"/>
    <col min="8471" max="8471" width="5.140625" customWidth="1"/>
    <col min="8472" max="8472" width="5.28515625" customWidth="1"/>
    <col min="8473" max="8473" width="7.7109375" customWidth="1"/>
    <col min="8474" max="8474" width="4.85546875" customWidth="1"/>
    <col min="8475" max="8475" width="6.28515625" customWidth="1"/>
    <col min="8476" max="8476" width="5" customWidth="1"/>
    <col min="8477" max="8477" width="6.7109375" customWidth="1"/>
    <col min="8478" max="8478" width="4.5703125" customWidth="1"/>
    <col min="8479" max="8479" width="7.85546875" customWidth="1"/>
    <col min="8480" max="8480" width="5" customWidth="1"/>
    <col min="8481" max="8481" width="7.85546875" customWidth="1"/>
    <col min="8482" max="8482" width="4.42578125" customWidth="1"/>
    <col min="8483" max="8483" width="6.85546875" customWidth="1"/>
    <col min="8484" max="8484" width="4.140625" customWidth="1"/>
    <col min="8485" max="8491" width="7.42578125" customWidth="1"/>
    <col min="8492" max="8492" width="5.140625" customWidth="1"/>
    <col min="8493" max="8493" width="7.5703125" customWidth="1"/>
    <col min="8494" max="8494" width="4.140625" customWidth="1"/>
    <col min="8495" max="8495" width="6.7109375" customWidth="1"/>
    <col min="8496" max="8496" width="8.42578125" customWidth="1"/>
    <col min="8497" max="8497" width="10.140625" customWidth="1"/>
    <col min="8498" max="8498" width="14" customWidth="1"/>
    <col min="8499" max="8499" width="11.140625" customWidth="1"/>
    <col min="8500" max="8501" width="11.42578125" customWidth="1"/>
    <col min="8707" max="8707" width="3" customWidth="1"/>
    <col min="8708" max="8712" width="22" customWidth="1"/>
    <col min="8713" max="8713" width="7.140625" customWidth="1"/>
    <col min="8714" max="8715" width="6.140625" customWidth="1"/>
    <col min="8716" max="8719" width="6.85546875" customWidth="1"/>
    <col min="8720" max="8721" width="8" customWidth="1"/>
    <col min="8722" max="8722" width="9.7109375" customWidth="1"/>
    <col min="8723" max="8723" width="8.42578125" customWidth="1"/>
    <col min="8724" max="8724" width="9" customWidth="1"/>
    <col min="8725" max="8725" width="5.28515625" customWidth="1"/>
    <col min="8726" max="8726" width="6" customWidth="1"/>
    <col min="8727" max="8727" width="5.140625" customWidth="1"/>
    <col min="8728" max="8728" width="5.28515625" customWidth="1"/>
    <col min="8729" max="8729" width="7.7109375" customWidth="1"/>
    <col min="8730" max="8730" width="4.85546875" customWidth="1"/>
    <col min="8731" max="8731" width="6.28515625" customWidth="1"/>
    <col min="8732" max="8732" width="5" customWidth="1"/>
    <col min="8733" max="8733" width="6.7109375" customWidth="1"/>
    <col min="8734" max="8734" width="4.5703125" customWidth="1"/>
    <col min="8735" max="8735" width="7.85546875" customWidth="1"/>
    <col min="8736" max="8736" width="5" customWidth="1"/>
    <col min="8737" max="8737" width="7.85546875" customWidth="1"/>
    <col min="8738" max="8738" width="4.42578125" customWidth="1"/>
    <col min="8739" max="8739" width="6.85546875" customWidth="1"/>
    <col min="8740" max="8740" width="4.140625" customWidth="1"/>
    <col min="8741" max="8747" width="7.42578125" customWidth="1"/>
    <col min="8748" max="8748" width="5.140625" customWidth="1"/>
    <col min="8749" max="8749" width="7.5703125" customWidth="1"/>
    <col min="8750" max="8750" width="4.140625" customWidth="1"/>
    <col min="8751" max="8751" width="6.7109375" customWidth="1"/>
    <col min="8752" max="8752" width="8.42578125" customWidth="1"/>
    <col min="8753" max="8753" width="10.140625" customWidth="1"/>
    <col min="8754" max="8754" width="14" customWidth="1"/>
    <col min="8755" max="8755" width="11.140625" customWidth="1"/>
    <col min="8756" max="8757" width="11.42578125" customWidth="1"/>
    <col min="8963" max="8963" width="3" customWidth="1"/>
    <col min="8964" max="8968" width="22" customWidth="1"/>
    <col min="8969" max="8969" width="7.140625" customWidth="1"/>
    <col min="8970" max="8971" width="6.140625" customWidth="1"/>
    <col min="8972" max="8975" width="6.85546875" customWidth="1"/>
    <col min="8976" max="8977" width="8" customWidth="1"/>
    <col min="8978" max="8978" width="9.7109375" customWidth="1"/>
    <col min="8979" max="8979" width="8.42578125" customWidth="1"/>
    <col min="8980" max="8980" width="9" customWidth="1"/>
    <col min="8981" max="8981" width="5.28515625" customWidth="1"/>
    <col min="8982" max="8982" width="6" customWidth="1"/>
    <col min="8983" max="8983" width="5.140625" customWidth="1"/>
    <col min="8984" max="8984" width="5.28515625" customWidth="1"/>
    <col min="8985" max="8985" width="7.7109375" customWidth="1"/>
    <col min="8986" max="8986" width="4.85546875" customWidth="1"/>
    <col min="8987" max="8987" width="6.28515625" customWidth="1"/>
    <col min="8988" max="8988" width="5" customWidth="1"/>
    <col min="8989" max="8989" width="6.7109375" customWidth="1"/>
    <col min="8990" max="8990" width="4.5703125" customWidth="1"/>
    <col min="8991" max="8991" width="7.85546875" customWidth="1"/>
    <col min="8992" max="8992" width="5" customWidth="1"/>
    <col min="8993" max="8993" width="7.85546875" customWidth="1"/>
    <col min="8994" max="8994" width="4.42578125" customWidth="1"/>
    <col min="8995" max="8995" width="6.85546875" customWidth="1"/>
    <col min="8996" max="8996" width="4.140625" customWidth="1"/>
    <col min="8997" max="9003" width="7.42578125" customWidth="1"/>
    <col min="9004" max="9004" width="5.140625" customWidth="1"/>
    <col min="9005" max="9005" width="7.5703125" customWidth="1"/>
    <col min="9006" max="9006" width="4.140625" customWidth="1"/>
    <col min="9007" max="9007" width="6.7109375" customWidth="1"/>
    <col min="9008" max="9008" width="8.42578125" customWidth="1"/>
    <col min="9009" max="9009" width="10.140625" customWidth="1"/>
    <col min="9010" max="9010" width="14" customWidth="1"/>
    <col min="9011" max="9011" width="11.140625" customWidth="1"/>
    <col min="9012" max="9013" width="11.42578125" customWidth="1"/>
    <col min="9219" max="9219" width="3" customWidth="1"/>
    <col min="9220" max="9224" width="22" customWidth="1"/>
    <col min="9225" max="9225" width="7.140625" customWidth="1"/>
    <col min="9226" max="9227" width="6.140625" customWidth="1"/>
    <col min="9228" max="9231" width="6.85546875" customWidth="1"/>
    <col min="9232" max="9233" width="8" customWidth="1"/>
    <col min="9234" max="9234" width="9.7109375" customWidth="1"/>
    <col min="9235" max="9235" width="8.42578125" customWidth="1"/>
    <col min="9236" max="9236" width="9" customWidth="1"/>
    <col min="9237" max="9237" width="5.28515625" customWidth="1"/>
    <col min="9238" max="9238" width="6" customWidth="1"/>
    <col min="9239" max="9239" width="5.140625" customWidth="1"/>
    <col min="9240" max="9240" width="5.28515625" customWidth="1"/>
    <col min="9241" max="9241" width="7.7109375" customWidth="1"/>
    <col min="9242" max="9242" width="4.85546875" customWidth="1"/>
    <col min="9243" max="9243" width="6.28515625" customWidth="1"/>
    <col min="9244" max="9244" width="5" customWidth="1"/>
    <col min="9245" max="9245" width="6.7109375" customWidth="1"/>
    <col min="9246" max="9246" width="4.5703125" customWidth="1"/>
    <col min="9247" max="9247" width="7.85546875" customWidth="1"/>
    <col min="9248" max="9248" width="5" customWidth="1"/>
    <col min="9249" max="9249" width="7.85546875" customWidth="1"/>
    <col min="9250" max="9250" width="4.42578125" customWidth="1"/>
    <col min="9251" max="9251" width="6.85546875" customWidth="1"/>
    <col min="9252" max="9252" width="4.140625" customWidth="1"/>
    <col min="9253" max="9259" width="7.42578125" customWidth="1"/>
    <col min="9260" max="9260" width="5.140625" customWidth="1"/>
    <col min="9261" max="9261" width="7.5703125" customWidth="1"/>
    <col min="9262" max="9262" width="4.140625" customWidth="1"/>
    <col min="9263" max="9263" width="6.7109375" customWidth="1"/>
    <col min="9264" max="9264" width="8.42578125" customWidth="1"/>
    <col min="9265" max="9265" width="10.140625" customWidth="1"/>
    <col min="9266" max="9266" width="14" customWidth="1"/>
    <col min="9267" max="9267" width="11.140625" customWidth="1"/>
    <col min="9268" max="9269" width="11.42578125" customWidth="1"/>
    <col min="9475" max="9475" width="3" customWidth="1"/>
    <col min="9476" max="9480" width="22" customWidth="1"/>
    <col min="9481" max="9481" width="7.140625" customWidth="1"/>
    <col min="9482" max="9483" width="6.140625" customWidth="1"/>
    <col min="9484" max="9487" width="6.85546875" customWidth="1"/>
    <col min="9488" max="9489" width="8" customWidth="1"/>
    <col min="9490" max="9490" width="9.7109375" customWidth="1"/>
    <col min="9491" max="9491" width="8.42578125" customWidth="1"/>
    <col min="9492" max="9492" width="9" customWidth="1"/>
    <col min="9493" max="9493" width="5.28515625" customWidth="1"/>
    <col min="9494" max="9494" width="6" customWidth="1"/>
    <col min="9495" max="9495" width="5.140625" customWidth="1"/>
    <col min="9496" max="9496" width="5.28515625" customWidth="1"/>
    <col min="9497" max="9497" width="7.7109375" customWidth="1"/>
    <col min="9498" max="9498" width="4.85546875" customWidth="1"/>
    <col min="9499" max="9499" width="6.28515625" customWidth="1"/>
    <col min="9500" max="9500" width="5" customWidth="1"/>
    <col min="9501" max="9501" width="6.7109375" customWidth="1"/>
    <col min="9502" max="9502" width="4.5703125" customWidth="1"/>
    <col min="9503" max="9503" width="7.85546875" customWidth="1"/>
    <col min="9504" max="9504" width="5" customWidth="1"/>
    <col min="9505" max="9505" width="7.85546875" customWidth="1"/>
    <col min="9506" max="9506" width="4.42578125" customWidth="1"/>
    <col min="9507" max="9507" width="6.85546875" customWidth="1"/>
    <col min="9508" max="9508" width="4.140625" customWidth="1"/>
    <col min="9509" max="9515" width="7.42578125" customWidth="1"/>
    <col min="9516" max="9516" width="5.140625" customWidth="1"/>
    <col min="9517" max="9517" width="7.5703125" customWidth="1"/>
    <col min="9518" max="9518" width="4.140625" customWidth="1"/>
    <col min="9519" max="9519" width="6.7109375" customWidth="1"/>
    <col min="9520" max="9520" width="8.42578125" customWidth="1"/>
    <col min="9521" max="9521" width="10.140625" customWidth="1"/>
    <col min="9522" max="9522" width="14" customWidth="1"/>
    <col min="9523" max="9523" width="11.140625" customWidth="1"/>
    <col min="9524" max="9525" width="11.42578125" customWidth="1"/>
    <col min="9731" max="9731" width="3" customWidth="1"/>
    <col min="9732" max="9736" width="22" customWidth="1"/>
    <col min="9737" max="9737" width="7.140625" customWidth="1"/>
    <col min="9738" max="9739" width="6.140625" customWidth="1"/>
    <col min="9740" max="9743" width="6.85546875" customWidth="1"/>
    <col min="9744" max="9745" width="8" customWidth="1"/>
    <col min="9746" max="9746" width="9.7109375" customWidth="1"/>
    <col min="9747" max="9747" width="8.42578125" customWidth="1"/>
    <col min="9748" max="9748" width="9" customWidth="1"/>
    <col min="9749" max="9749" width="5.28515625" customWidth="1"/>
    <col min="9750" max="9750" width="6" customWidth="1"/>
    <col min="9751" max="9751" width="5.140625" customWidth="1"/>
    <col min="9752" max="9752" width="5.28515625" customWidth="1"/>
    <col min="9753" max="9753" width="7.7109375" customWidth="1"/>
    <col min="9754" max="9754" width="4.85546875" customWidth="1"/>
    <col min="9755" max="9755" width="6.28515625" customWidth="1"/>
    <col min="9756" max="9756" width="5" customWidth="1"/>
    <col min="9757" max="9757" width="6.7109375" customWidth="1"/>
    <col min="9758" max="9758" width="4.5703125" customWidth="1"/>
    <col min="9759" max="9759" width="7.85546875" customWidth="1"/>
    <col min="9760" max="9760" width="5" customWidth="1"/>
    <col min="9761" max="9761" width="7.85546875" customWidth="1"/>
    <col min="9762" max="9762" width="4.42578125" customWidth="1"/>
    <col min="9763" max="9763" width="6.85546875" customWidth="1"/>
    <col min="9764" max="9764" width="4.140625" customWidth="1"/>
    <col min="9765" max="9771" width="7.42578125" customWidth="1"/>
    <col min="9772" max="9772" width="5.140625" customWidth="1"/>
    <col min="9773" max="9773" width="7.5703125" customWidth="1"/>
    <col min="9774" max="9774" width="4.140625" customWidth="1"/>
    <col min="9775" max="9775" width="6.7109375" customWidth="1"/>
    <col min="9776" max="9776" width="8.42578125" customWidth="1"/>
    <col min="9777" max="9777" width="10.140625" customWidth="1"/>
    <col min="9778" max="9778" width="14" customWidth="1"/>
    <col min="9779" max="9779" width="11.140625" customWidth="1"/>
    <col min="9780" max="9781" width="11.42578125" customWidth="1"/>
    <col min="9987" max="9987" width="3" customWidth="1"/>
    <col min="9988" max="9992" width="22" customWidth="1"/>
    <col min="9993" max="9993" width="7.140625" customWidth="1"/>
    <col min="9994" max="9995" width="6.140625" customWidth="1"/>
    <col min="9996" max="9999" width="6.85546875" customWidth="1"/>
    <col min="10000" max="10001" width="8" customWidth="1"/>
    <col min="10002" max="10002" width="9.7109375" customWidth="1"/>
    <col min="10003" max="10003" width="8.42578125" customWidth="1"/>
    <col min="10004" max="10004" width="9" customWidth="1"/>
    <col min="10005" max="10005" width="5.28515625" customWidth="1"/>
    <col min="10006" max="10006" width="6" customWidth="1"/>
    <col min="10007" max="10007" width="5.140625" customWidth="1"/>
    <col min="10008" max="10008" width="5.28515625" customWidth="1"/>
    <col min="10009" max="10009" width="7.7109375" customWidth="1"/>
    <col min="10010" max="10010" width="4.85546875" customWidth="1"/>
    <col min="10011" max="10011" width="6.28515625" customWidth="1"/>
    <col min="10012" max="10012" width="5" customWidth="1"/>
    <col min="10013" max="10013" width="6.7109375" customWidth="1"/>
    <col min="10014" max="10014" width="4.5703125" customWidth="1"/>
    <col min="10015" max="10015" width="7.85546875" customWidth="1"/>
    <col min="10016" max="10016" width="5" customWidth="1"/>
    <col min="10017" max="10017" width="7.85546875" customWidth="1"/>
    <col min="10018" max="10018" width="4.42578125" customWidth="1"/>
    <col min="10019" max="10019" width="6.85546875" customWidth="1"/>
    <col min="10020" max="10020" width="4.140625" customWidth="1"/>
    <col min="10021" max="10027" width="7.42578125" customWidth="1"/>
    <col min="10028" max="10028" width="5.140625" customWidth="1"/>
    <col min="10029" max="10029" width="7.5703125" customWidth="1"/>
    <col min="10030" max="10030" width="4.140625" customWidth="1"/>
    <col min="10031" max="10031" width="6.7109375" customWidth="1"/>
    <col min="10032" max="10032" width="8.42578125" customWidth="1"/>
    <col min="10033" max="10033" width="10.140625" customWidth="1"/>
    <col min="10034" max="10034" width="14" customWidth="1"/>
    <col min="10035" max="10035" width="11.140625" customWidth="1"/>
    <col min="10036" max="10037" width="11.42578125" customWidth="1"/>
    <col min="10243" max="10243" width="3" customWidth="1"/>
    <col min="10244" max="10248" width="22" customWidth="1"/>
    <col min="10249" max="10249" width="7.140625" customWidth="1"/>
    <col min="10250" max="10251" width="6.140625" customWidth="1"/>
    <col min="10252" max="10255" width="6.85546875" customWidth="1"/>
    <col min="10256" max="10257" width="8" customWidth="1"/>
    <col min="10258" max="10258" width="9.7109375" customWidth="1"/>
    <col min="10259" max="10259" width="8.42578125" customWidth="1"/>
    <col min="10260" max="10260" width="9" customWidth="1"/>
    <col min="10261" max="10261" width="5.28515625" customWidth="1"/>
    <col min="10262" max="10262" width="6" customWidth="1"/>
    <col min="10263" max="10263" width="5.140625" customWidth="1"/>
    <col min="10264" max="10264" width="5.28515625" customWidth="1"/>
    <col min="10265" max="10265" width="7.7109375" customWidth="1"/>
    <col min="10266" max="10266" width="4.85546875" customWidth="1"/>
    <col min="10267" max="10267" width="6.28515625" customWidth="1"/>
    <col min="10268" max="10268" width="5" customWidth="1"/>
    <col min="10269" max="10269" width="6.7109375" customWidth="1"/>
    <col min="10270" max="10270" width="4.5703125" customWidth="1"/>
    <col min="10271" max="10271" width="7.85546875" customWidth="1"/>
    <col min="10272" max="10272" width="5" customWidth="1"/>
    <col min="10273" max="10273" width="7.85546875" customWidth="1"/>
    <col min="10274" max="10274" width="4.42578125" customWidth="1"/>
    <col min="10275" max="10275" width="6.85546875" customWidth="1"/>
    <col min="10276" max="10276" width="4.140625" customWidth="1"/>
    <col min="10277" max="10283" width="7.42578125" customWidth="1"/>
    <col min="10284" max="10284" width="5.140625" customWidth="1"/>
    <col min="10285" max="10285" width="7.5703125" customWidth="1"/>
    <col min="10286" max="10286" width="4.140625" customWidth="1"/>
    <col min="10287" max="10287" width="6.7109375" customWidth="1"/>
    <col min="10288" max="10288" width="8.42578125" customWidth="1"/>
    <col min="10289" max="10289" width="10.140625" customWidth="1"/>
    <col min="10290" max="10290" width="14" customWidth="1"/>
    <col min="10291" max="10291" width="11.140625" customWidth="1"/>
    <col min="10292" max="10293" width="11.42578125" customWidth="1"/>
    <col min="10499" max="10499" width="3" customWidth="1"/>
    <col min="10500" max="10504" width="22" customWidth="1"/>
    <col min="10505" max="10505" width="7.140625" customWidth="1"/>
    <col min="10506" max="10507" width="6.140625" customWidth="1"/>
    <col min="10508" max="10511" width="6.85546875" customWidth="1"/>
    <col min="10512" max="10513" width="8" customWidth="1"/>
    <col min="10514" max="10514" width="9.7109375" customWidth="1"/>
    <col min="10515" max="10515" width="8.42578125" customWidth="1"/>
    <col min="10516" max="10516" width="9" customWidth="1"/>
    <col min="10517" max="10517" width="5.28515625" customWidth="1"/>
    <col min="10518" max="10518" width="6" customWidth="1"/>
    <col min="10519" max="10519" width="5.140625" customWidth="1"/>
    <col min="10520" max="10520" width="5.28515625" customWidth="1"/>
    <col min="10521" max="10521" width="7.7109375" customWidth="1"/>
    <col min="10522" max="10522" width="4.85546875" customWidth="1"/>
    <col min="10523" max="10523" width="6.28515625" customWidth="1"/>
    <col min="10524" max="10524" width="5" customWidth="1"/>
    <col min="10525" max="10525" width="6.7109375" customWidth="1"/>
    <col min="10526" max="10526" width="4.5703125" customWidth="1"/>
    <col min="10527" max="10527" width="7.85546875" customWidth="1"/>
    <col min="10528" max="10528" width="5" customWidth="1"/>
    <col min="10529" max="10529" width="7.85546875" customWidth="1"/>
    <col min="10530" max="10530" width="4.42578125" customWidth="1"/>
    <col min="10531" max="10531" width="6.85546875" customWidth="1"/>
    <col min="10532" max="10532" width="4.140625" customWidth="1"/>
    <col min="10533" max="10539" width="7.42578125" customWidth="1"/>
    <col min="10540" max="10540" width="5.140625" customWidth="1"/>
    <col min="10541" max="10541" width="7.5703125" customWidth="1"/>
    <col min="10542" max="10542" width="4.140625" customWidth="1"/>
    <col min="10543" max="10543" width="6.7109375" customWidth="1"/>
    <col min="10544" max="10544" width="8.42578125" customWidth="1"/>
    <col min="10545" max="10545" width="10.140625" customWidth="1"/>
    <col min="10546" max="10546" width="14" customWidth="1"/>
    <col min="10547" max="10547" width="11.140625" customWidth="1"/>
    <col min="10548" max="10549" width="11.42578125" customWidth="1"/>
    <col min="10755" max="10755" width="3" customWidth="1"/>
    <col min="10756" max="10760" width="22" customWidth="1"/>
    <col min="10761" max="10761" width="7.140625" customWidth="1"/>
    <col min="10762" max="10763" width="6.140625" customWidth="1"/>
    <col min="10764" max="10767" width="6.85546875" customWidth="1"/>
    <col min="10768" max="10769" width="8" customWidth="1"/>
    <col min="10770" max="10770" width="9.7109375" customWidth="1"/>
    <col min="10771" max="10771" width="8.42578125" customWidth="1"/>
    <col min="10772" max="10772" width="9" customWidth="1"/>
    <col min="10773" max="10773" width="5.28515625" customWidth="1"/>
    <col min="10774" max="10774" width="6" customWidth="1"/>
    <col min="10775" max="10775" width="5.140625" customWidth="1"/>
    <col min="10776" max="10776" width="5.28515625" customWidth="1"/>
    <col min="10777" max="10777" width="7.7109375" customWidth="1"/>
    <col min="10778" max="10778" width="4.85546875" customWidth="1"/>
    <col min="10779" max="10779" width="6.28515625" customWidth="1"/>
    <col min="10780" max="10780" width="5" customWidth="1"/>
    <col min="10781" max="10781" width="6.7109375" customWidth="1"/>
    <col min="10782" max="10782" width="4.5703125" customWidth="1"/>
    <col min="10783" max="10783" width="7.85546875" customWidth="1"/>
    <col min="10784" max="10784" width="5" customWidth="1"/>
    <col min="10785" max="10785" width="7.85546875" customWidth="1"/>
    <col min="10786" max="10786" width="4.42578125" customWidth="1"/>
    <col min="10787" max="10787" width="6.85546875" customWidth="1"/>
    <col min="10788" max="10788" width="4.140625" customWidth="1"/>
    <col min="10789" max="10795" width="7.42578125" customWidth="1"/>
    <col min="10796" max="10796" width="5.140625" customWidth="1"/>
    <col min="10797" max="10797" width="7.5703125" customWidth="1"/>
    <col min="10798" max="10798" width="4.140625" customWidth="1"/>
    <col min="10799" max="10799" width="6.7109375" customWidth="1"/>
    <col min="10800" max="10800" width="8.42578125" customWidth="1"/>
    <col min="10801" max="10801" width="10.140625" customWidth="1"/>
    <col min="10802" max="10802" width="14" customWidth="1"/>
    <col min="10803" max="10803" width="11.140625" customWidth="1"/>
    <col min="10804" max="10805" width="11.42578125" customWidth="1"/>
    <col min="11011" max="11011" width="3" customWidth="1"/>
    <col min="11012" max="11016" width="22" customWidth="1"/>
    <col min="11017" max="11017" width="7.140625" customWidth="1"/>
    <col min="11018" max="11019" width="6.140625" customWidth="1"/>
    <col min="11020" max="11023" width="6.85546875" customWidth="1"/>
    <col min="11024" max="11025" width="8" customWidth="1"/>
    <col min="11026" max="11026" width="9.7109375" customWidth="1"/>
    <col min="11027" max="11027" width="8.42578125" customWidth="1"/>
    <col min="11028" max="11028" width="9" customWidth="1"/>
    <col min="11029" max="11029" width="5.28515625" customWidth="1"/>
    <col min="11030" max="11030" width="6" customWidth="1"/>
    <col min="11031" max="11031" width="5.140625" customWidth="1"/>
    <col min="11032" max="11032" width="5.28515625" customWidth="1"/>
    <col min="11033" max="11033" width="7.7109375" customWidth="1"/>
    <col min="11034" max="11034" width="4.85546875" customWidth="1"/>
    <col min="11035" max="11035" width="6.28515625" customWidth="1"/>
    <col min="11036" max="11036" width="5" customWidth="1"/>
    <col min="11037" max="11037" width="6.7109375" customWidth="1"/>
    <col min="11038" max="11038" width="4.5703125" customWidth="1"/>
    <col min="11039" max="11039" width="7.85546875" customWidth="1"/>
    <col min="11040" max="11040" width="5" customWidth="1"/>
    <col min="11041" max="11041" width="7.85546875" customWidth="1"/>
    <col min="11042" max="11042" width="4.42578125" customWidth="1"/>
    <col min="11043" max="11043" width="6.85546875" customWidth="1"/>
    <col min="11044" max="11044" width="4.140625" customWidth="1"/>
    <col min="11045" max="11051" width="7.42578125" customWidth="1"/>
    <col min="11052" max="11052" width="5.140625" customWidth="1"/>
    <col min="11053" max="11053" width="7.5703125" customWidth="1"/>
    <col min="11054" max="11054" width="4.140625" customWidth="1"/>
    <col min="11055" max="11055" width="6.7109375" customWidth="1"/>
    <col min="11056" max="11056" width="8.42578125" customWidth="1"/>
    <col min="11057" max="11057" width="10.140625" customWidth="1"/>
    <col min="11058" max="11058" width="14" customWidth="1"/>
    <col min="11059" max="11059" width="11.140625" customWidth="1"/>
    <col min="11060" max="11061" width="11.42578125" customWidth="1"/>
    <col min="11267" max="11267" width="3" customWidth="1"/>
    <col min="11268" max="11272" width="22" customWidth="1"/>
    <col min="11273" max="11273" width="7.140625" customWidth="1"/>
    <col min="11274" max="11275" width="6.140625" customWidth="1"/>
    <col min="11276" max="11279" width="6.85546875" customWidth="1"/>
    <col min="11280" max="11281" width="8" customWidth="1"/>
    <col min="11282" max="11282" width="9.7109375" customWidth="1"/>
    <col min="11283" max="11283" width="8.42578125" customWidth="1"/>
    <col min="11284" max="11284" width="9" customWidth="1"/>
    <col min="11285" max="11285" width="5.28515625" customWidth="1"/>
    <col min="11286" max="11286" width="6" customWidth="1"/>
    <col min="11287" max="11287" width="5.140625" customWidth="1"/>
    <col min="11288" max="11288" width="5.28515625" customWidth="1"/>
    <col min="11289" max="11289" width="7.7109375" customWidth="1"/>
    <col min="11290" max="11290" width="4.85546875" customWidth="1"/>
    <col min="11291" max="11291" width="6.28515625" customWidth="1"/>
    <col min="11292" max="11292" width="5" customWidth="1"/>
    <col min="11293" max="11293" width="6.7109375" customWidth="1"/>
    <col min="11294" max="11294" width="4.5703125" customWidth="1"/>
    <col min="11295" max="11295" width="7.85546875" customWidth="1"/>
    <col min="11296" max="11296" width="5" customWidth="1"/>
    <col min="11297" max="11297" width="7.85546875" customWidth="1"/>
    <col min="11298" max="11298" width="4.42578125" customWidth="1"/>
    <col min="11299" max="11299" width="6.85546875" customWidth="1"/>
    <col min="11300" max="11300" width="4.140625" customWidth="1"/>
    <col min="11301" max="11307" width="7.42578125" customWidth="1"/>
    <col min="11308" max="11308" width="5.140625" customWidth="1"/>
    <col min="11309" max="11309" width="7.5703125" customWidth="1"/>
    <col min="11310" max="11310" width="4.140625" customWidth="1"/>
    <col min="11311" max="11311" width="6.7109375" customWidth="1"/>
    <col min="11312" max="11312" width="8.42578125" customWidth="1"/>
    <col min="11313" max="11313" width="10.140625" customWidth="1"/>
    <col min="11314" max="11314" width="14" customWidth="1"/>
    <col min="11315" max="11315" width="11.140625" customWidth="1"/>
    <col min="11316" max="11317" width="11.42578125" customWidth="1"/>
    <col min="11523" max="11523" width="3" customWidth="1"/>
    <col min="11524" max="11528" width="22" customWidth="1"/>
    <col min="11529" max="11529" width="7.140625" customWidth="1"/>
    <col min="11530" max="11531" width="6.140625" customWidth="1"/>
    <col min="11532" max="11535" width="6.85546875" customWidth="1"/>
    <col min="11536" max="11537" width="8" customWidth="1"/>
    <col min="11538" max="11538" width="9.7109375" customWidth="1"/>
    <col min="11539" max="11539" width="8.42578125" customWidth="1"/>
    <col min="11540" max="11540" width="9" customWidth="1"/>
    <col min="11541" max="11541" width="5.28515625" customWidth="1"/>
    <col min="11542" max="11542" width="6" customWidth="1"/>
    <col min="11543" max="11543" width="5.140625" customWidth="1"/>
    <col min="11544" max="11544" width="5.28515625" customWidth="1"/>
    <col min="11545" max="11545" width="7.7109375" customWidth="1"/>
    <col min="11546" max="11546" width="4.85546875" customWidth="1"/>
    <col min="11547" max="11547" width="6.28515625" customWidth="1"/>
    <col min="11548" max="11548" width="5" customWidth="1"/>
    <col min="11549" max="11549" width="6.7109375" customWidth="1"/>
    <col min="11550" max="11550" width="4.5703125" customWidth="1"/>
    <col min="11551" max="11551" width="7.85546875" customWidth="1"/>
    <col min="11552" max="11552" width="5" customWidth="1"/>
    <col min="11553" max="11553" width="7.85546875" customWidth="1"/>
    <col min="11554" max="11554" width="4.42578125" customWidth="1"/>
    <col min="11555" max="11555" width="6.85546875" customWidth="1"/>
    <col min="11556" max="11556" width="4.140625" customWidth="1"/>
    <col min="11557" max="11563" width="7.42578125" customWidth="1"/>
    <col min="11564" max="11564" width="5.140625" customWidth="1"/>
    <col min="11565" max="11565" width="7.5703125" customWidth="1"/>
    <col min="11566" max="11566" width="4.140625" customWidth="1"/>
    <col min="11567" max="11567" width="6.7109375" customWidth="1"/>
    <col min="11568" max="11568" width="8.42578125" customWidth="1"/>
    <col min="11569" max="11569" width="10.140625" customWidth="1"/>
    <col min="11570" max="11570" width="14" customWidth="1"/>
    <col min="11571" max="11571" width="11.140625" customWidth="1"/>
    <col min="11572" max="11573" width="11.42578125" customWidth="1"/>
    <col min="11779" max="11779" width="3" customWidth="1"/>
    <col min="11780" max="11784" width="22" customWidth="1"/>
    <col min="11785" max="11785" width="7.140625" customWidth="1"/>
    <col min="11786" max="11787" width="6.140625" customWidth="1"/>
    <col min="11788" max="11791" width="6.85546875" customWidth="1"/>
    <col min="11792" max="11793" width="8" customWidth="1"/>
    <col min="11794" max="11794" width="9.7109375" customWidth="1"/>
    <col min="11795" max="11795" width="8.42578125" customWidth="1"/>
    <col min="11796" max="11796" width="9" customWidth="1"/>
    <col min="11797" max="11797" width="5.28515625" customWidth="1"/>
    <col min="11798" max="11798" width="6" customWidth="1"/>
    <col min="11799" max="11799" width="5.140625" customWidth="1"/>
    <col min="11800" max="11800" width="5.28515625" customWidth="1"/>
    <col min="11801" max="11801" width="7.7109375" customWidth="1"/>
    <col min="11802" max="11802" width="4.85546875" customWidth="1"/>
    <col min="11803" max="11803" width="6.28515625" customWidth="1"/>
    <col min="11804" max="11804" width="5" customWidth="1"/>
    <col min="11805" max="11805" width="6.7109375" customWidth="1"/>
    <col min="11806" max="11806" width="4.5703125" customWidth="1"/>
    <col min="11807" max="11807" width="7.85546875" customWidth="1"/>
    <col min="11808" max="11808" width="5" customWidth="1"/>
    <col min="11809" max="11809" width="7.85546875" customWidth="1"/>
    <col min="11810" max="11810" width="4.42578125" customWidth="1"/>
    <col min="11811" max="11811" width="6.85546875" customWidth="1"/>
    <col min="11812" max="11812" width="4.140625" customWidth="1"/>
    <col min="11813" max="11819" width="7.42578125" customWidth="1"/>
    <col min="11820" max="11820" width="5.140625" customWidth="1"/>
    <col min="11821" max="11821" width="7.5703125" customWidth="1"/>
    <col min="11822" max="11822" width="4.140625" customWidth="1"/>
    <col min="11823" max="11823" width="6.7109375" customWidth="1"/>
    <col min="11824" max="11824" width="8.42578125" customWidth="1"/>
    <col min="11825" max="11825" width="10.140625" customWidth="1"/>
    <col min="11826" max="11826" width="14" customWidth="1"/>
    <col min="11827" max="11827" width="11.140625" customWidth="1"/>
    <col min="11828" max="11829" width="11.42578125" customWidth="1"/>
    <col min="12035" max="12035" width="3" customWidth="1"/>
    <col min="12036" max="12040" width="22" customWidth="1"/>
    <col min="12041" max="12041" width="7.140625" customWidth="1"/>
    <col min="12042" max="12043" width="6.140625" customWidth="1"/>
    <col min="12044" max="12047" width="6.85546875" customWidth="1"/>
    <col min="12048" max="12049" width="8" customWidth="1"/>
    <col min="12050" max="12050" width="9.7109375" customWidth="1"/>
    <col min="12051" max="12051" width="8.42578125" customWidth="1"/>
    <col min="12052" max="12052" width="9" customWidth="1"/>
    <col min="12053" max="12053" width="5.28515625" customWidth="1"/>
    <col min="12054" max="12054" width="6" customWidth="1"/>
    <col min="12055" max="12055" width="5.140625" customWidth="1"/>
    <col min="12056" max="12056" width="5.28515625" customWidth="1"/>
    <col min="12057" max="12057" width="7.7109375" customWidth="1"/>
    <col min="12058" max="12058" width="4.85546875" customWidth="1"/>
    <col min="12059" max="12059" width="6.28515625" customWidth="1"/>
    <col min="12060" max="12060" width="5" customWidth="1"/>
    <col min="12061" max="12061" width="6.7109375" customWidth="1"/>
    <col min="12062" max="12062" width="4.5703125" customWidth="1"/>
    <col min="12063" max="12063" width="7.85546875" customWidth="1"/>
    <col min="12064" max="12064" width="5" customWidth="1"/>
    <col min="12065" max="12065" width="7.85546875" customWidth="1"/>
    <col min="12066" max="12066" width="4.42578125" customWidth="1"/>
    <col min="12067" max="12067" width="6.85546875" customWidth="1"/>
    <col min="12068" max="12068" width="4.140625" customWidth="1"/>
    <col min="12069" max="12075" width="7.42578125" customWidth="1"/>
    <col min="12076" max="12076" width="5.140625" customWidth="1"/>
    <col min="12077" max="12077" width="7.5703125" customWidth="1"/>
    <col min="12078" max="12078" width="4.140625" customWidth="1"/>
    <col min="12079" max="12079" width="6.7109375" customWidth="1"/>
    <col min="12080" max="12080" width="8.42578125" customWidth="1"/>
    <col min="12081" max="12081" width="10.140625" customWidth="1"/>
    <col min="12082" max="12082" width="14" customWidth="1"/>
    <col min="12083" max="12083" width="11.140625" customWidth="1"/>
    <col min="12084" max="12085" width="11.42578125" customWidth="1"/>
    <col min="12291" max="12291" width="3" customWidth="1"/>
    <col min="12292" max="12296" width="22" customWidth="1"/>
    <col min="12297" max="12297" width="7.140625" customWidth="1"/>
    <col min="12298" max="12299" width="6.140625" customWidth="1"/>
    <col min="12300" max="12303" width="6.85546875" customWidth="1"/>
    <col min="12304" max="12305" width="8" customWidth="1"/>
    <col min="12306" max="12306" width="9.7109375" customWidth="1"/>
    <col min="12307" max="12307" width="8.42578125" customWidth="1"/>
    <col min="12308" max="12308" width="9" customWidth="1"/>
    <col min="12309" max="12309" width="5.28515625" customWidth="1"/>
    <col min="12310" max="12310" width="6" customWidth="1"/>
    <col min="12311" max="12311" width="5.140625" customWidth="1"/>
    <col min="12312" max="12312" width="5.28515625" customWidth="1"/>
    <col min="12313" max="12313" width="7.7109375" customWidth="1"/>
    <col min="12314" max="12314" width="4.85546875" customWidth="1"/>
    <col min="12315" max="12315" width="6.28515625" customWidth="1"/>
    <col min="12316" max="12316" width="5" customWidth="1"/>
    <col min="12317" max="12317" width="6.7109375" customWidth="1"/>
    <col min="12318" max="12318" width="4.5703125" customWidth="1"/>
    <col min="12319" max="12319" width="7.85546875" customWidth="1"/>
    <col min="12320" max="12320" width="5" customWidth="1"/>
    <col min="12321" max="12321" width="7.85546875" customWidth="1"/>
    <col min="12322" max="12322" width="4.42578125" customWidth="1"/>
    <col min="12323" max="12323" width="6.85546875" customWidth="1"/>
    <col min="12324" max="12324" width="4.140625" customWidth="1"/>
    <col min="12325" max="12331" width="7.42578125" customWidth="1"/>
    <col min="12332" max="12332" width="5.140625" customWidth="1"/>
    <col min="12333" max="12333" width="7.5703125" customWidth="1"/>
    <col min="12334" max="12334" width="4.140625" customWidth="1"/>
    <col min="12335" max="12335" width="6.7109375" customWidth="1"/>
    <col min="12336" max="12336" width="8.42578125" customWidth="1"/>
    <col min="12337" max="12337" width="10.140625" customWidth="1"/>
    <col min="12338" max="12338" width="14" customWidth="1"/>
    <col min="12339" max="12339" width="11.140625" customWidth="1"/>
    <col min="12340" max="12341" width="11.42578125" customWidth="1"/>
    <col min="12547" max="12547" width="3" customWidth="1"/>
    <col min="12548" max="12552" width="22" customWidth="1"/>
    <col min="12553" max="12553" width="7.140625" customWidth="1"/>
    <col min="12554" max="12555" width="6.140625" customWidth="1"/>
    <col min="12556" max="12559" width="6.85546875" customWidth="1"/>
    <col min="12560" max="12561" width="8" customWidth="1"/>
    <col min="12562" max="12562" width="9.7109375" customWidth="1"/>
    <col min="12563" max="12563" width="8.42578125" customWidth="1"/>
    <col min="12564" max="12564" width="9" customWidth="1"/>
    <col min="12565" max="12565" width="5.28515625" customWidth="1"/>
    <col min="12566" max="12566" width="6" customWidth="1"/>
    <col min="12567" max="12567" width="5.140625" customWidth="1"/>
    <col min="12568" max="12568" width="5.28515625" customWidth="1"/>
    <col min="12569" max="12569" width="7.7109375" customWidth="1"/>
    <col min="12570" max="12570" width="4.85546875" customWidth="1"/>
    <col min="12571" max="12571" width="6.28515625" customWidth="1"/>
    <col min="12572" max="12572" width="5" customWidth="1"/>
    <col min="12573" max="12573" width="6.7109375" customWidth="1"/>
    <col min="12574" max="12574" width="4.5703125" customWidth="1"/>
    <col min="12575" max="12575" width="7.85546875" customWidth="1"/>
    <col min="12576" max="12576" width="5" customWidth="1"/>
    <col min="12577" max="12577" width="7.85546875" customWidth="1"/>
    <col min="12578" max="12578" width="4.42578125" customWidth="1"/>
    <col min="12579" max="12579" width="6.85546875" customWidth="1"/>
    <col min="12580" max="12580" width="4.140625" customWidth="1"/>
    <col min="12581" max="12587" width="7.42578125" customWidth="1"/>
    <col min="12588" max="12588" width="5.140625" customWidth="1"/>
    <col min="12589" max="12589" width="7.5703125" customWidth="1"/>
    <col min="12590" max="12590" width="4.140625" customWidth="1"/>
    <col min="12591" max="12591" width="6.7109375" customWidth="1"/>
    <col min="12592" max="12592" width="8.42578125" customWidth="1"/>
    <col min="12593" max="12593" width="10.140625" customWidth="1"/>
    <col min="12594" max="12594" width="14" customWidth="1"/>
    <col min="12595" max="12595" width="11.140625" customWidth="1"/>
    <col min="12596" max="12597" width="11.42578125" customWidth="1"/>
    <col min="12803" max="12803" width="3" customWidth="1"/>
    <col min="12804" max="12808" width="22" customWidth="1"/>
    <col min="12809" max="12809" width="7.140625" customWidth="1"/>
    <col min="12810" max="12811" width="6.140625" customWidth="1"/>
    <col min="12812" max="12815" width="6.85546875" customWidth="1"/>
    <col min="12816" max="12817" width="8" customWidth="1"/>
    <col min="12818" max="12818" width="9.7109375" customWidth="1"/>
    <col min="12819" max="12819" width="8.42578125" customWidth="1"/>
    <col min="12820" max="12820" width="9" customWidth="1"/>
    <col min="12821" max="12821" width="5.28515625" customWidth="1"/>
    <col min="12822" max="12822" width="6" customWidth="1"/>
    <col min="12823" max="12823" width="5.140625" customWidth="1"/>
    <col min="12824" max="12824" width="5.28515625" customWidth="1"/>
    <col min="12825" max="12825" width="7.7109375" customWidth="1"/>
    <col min="12826" max="12826" width="4.85546875" customWidth="1"/>
    <col min="12827" max="12827" width="6.28515625" customWidth="1"/>
    <col min="12828" max="12828" width="5" customWidth="1"/>
    <col min="12829" max="12829" width="6.7109375" customWidth="1"/>
    <col min="12830" max="12830" width="4.5703125" customWidth="1"/>
    <col min="12831" max="12831" width="7.85546875" customWidth="1"/>
    <col min="12832" max="12832" width="5" customWidth="1"/>
    <col min="12833" max="12833" width="7.85546875" customWidth="1"/>
    <col min="12834" max="12834" width="4.42578125" customWidth="1"/>
    <col min="12835" max="12835" width="6.85546875" customWidth="1"/>
    <col min="12836" max="12836" width="4.140625" customWidth="1"/>
    <col min="12837" max="12843" width="7.42578125" customWidth="1"/>
    <col min="12844" max="12844" width="5.140625" customWidth="1"/>
    <col min="12845" max="12845" width="7.5703125" customWidth="1"/>
    <col min="12846" max="12846" width="4.140625" customWidth="1"/>
    <col min="12847" max="12847" width="6.7109375" customWidth="1"/>
    <col min="12848" max="12848" width="8.42578125" customWidth="1"/>
    <col min="12849" max="12849" width="10.140625" customWidth="1"/>
    <col min="12850" max="12850" width="14" customWidth="1"/>
    <col min="12851" max="12851" width="11.140625" customWidth="1"/>
    <col min="12852" max="12853" width="11.42578125" customWidth="1"/>
    <col min="13059" max="13059" width="3" customWidth="1"/>
    <col min="13060" max="13064" width="22" customWidth="1"/>
    <col min="13065" max="13065" width="7.140625" customWidth="1"/>
    <col min="13066" max="13067" width="6.140625" customWidth="1"/>
    <col min="13068" max="13071" width="6.85546875" customWidth="1"/>
    <col min="13072" max="13073" width="8" customWidth="1"/>
    <col min="13074" max="13074" width="9.7109375" customWidth="1"/>
    <col min="13075" max="13075" width="8.42578125" customWidth="1"/>
    <col min="13076" max="13076" width="9" customWidth="1"/>
    <col min="13077" max="13077" width="5.28515625" customWidth="1"/>
    <col min="13078" max="13078" width="6" customWidth="1"/>
    <col min="13079" max="13079" width="5.140625" customWidth="1"/>
    <col min="13080" max="13080" width="5.28515625" customWidth="1"/>
    <col min="13081" max="13081" width="7.7109375" customWidth="1"/>
    <col min="13082" max="13082" width="4.85546875" customWidth="1"/>
    <col min="13083" max="13083" width="6.28515625" customWidth="1"/>
    <col min="13084" max="13084" width="5" customWidth="1"/>
    <col min="13085" max="13085" width="6.7109375" customWidth="1"/>
    <col min="13086" max="13086" width="4.5703125" customWidth="1"/>
    <col min="13087" max="13087" width="7.85546875" customWidth="1"/>
    <col min="13088" max="13088" width="5" customWidth="1"/>
    <col min="13089" max="13089" width="7.85546875" customWidth="1"/>
    <col min="13090" max="13090" width="4.42578125" customWidth="1"/>
    <col min="13091" max="13091" width="6.85546875" customWidth="1"/>
    <col min="13092" max="13092" width="4.140625" customWidth="1"/>
    <col min="13093" max="13099" width="7.42578125" customWidth="1"/>
    <col min="13100" max="13100" width="5.140625" customWidth="1"/>
    <col min="13101" max="13101" width="7.5703125" customWidth="1"/>
    <col min="13102" max="13102" width="4.140625" customWidth="1"/>
    <col min="13103" max="13103" width="6.7109375" customWidth="1"/>
    <col min="13104" max="13104" width="8.42578125" customWidth="1"/>
    <col min="13105" max="13105" width="10.140625" customWidth="1"/>
    <col min="13106" max="13106" width="14" customWidth="1"/>
    <col min="13107" max="13107" width="11.140625" customWidth="1"/>
    <col min="13108" max="13109" width="11.42578125" customWidth="1"/>
    <col min="13315" max="13315" width="3" customWidth="1"/>
    <col min="13316" max="13320" width="22" customWidth="1"/>
    <col min="13321" max="13321" width="7.140625" customWidth="1"/>
    <col min="13322" max="13323" width="6.140625" customWidth="1"/>
    <col min="13324" max="13327" width="6.85546875" customWidth="1"/>
    <col min="13328" max="13329" width="8" customWidth="1"/>
    <col min="13330" max="13330" width="9.7109375" customWidth="1"/>
    <col min="13331" max="13331" width="8.42578125" customWidth="1"/>
    <col min="13332" max="13332" width="9" customWidth="1"/>
    <col min="13333" max="13333" width="5.28515625" customWidth="1"/>
    <col min="13334" max="13334" width="6" customWidth="1"/>
    <col min="13335" max="13335" width="5.140625" customWidth="1"/>
    <col min="13336" max="13336" width="5.28515625" customWidth="1"/>
    <col min="13337" max="13337" width="7.7109375" customWidth="1"/>
    <col min="13338" max="13338" width="4.85546875" customWidth="1"/>
    <col min="13339" max="13339" width="6.28515625" customWidth="1"/>
    <col min="13340" max="13340" width="5" customWidth="1"/>
    <col min="13341" max="13341" width="6.7109375" customWidth="1"/>
    <col min="13342" max="13342" width="4.5703125" customWidth="1"/>
    <col min="13343" max="13343" width="7.85546875" customWidth="1"/>
    <col min="13344" max="13344" width="5" customWidth="1"/>
    <col min="13345" max="13345" width="7.85546875" customWidth="1"/>
    <col min="13346" max="13346" width="4.42578125" customWidth="1"/>
    <col min="13347" max="13347" width="6.85546875" customWidth="1"/>
    <col min="13348" max="13348" width="4.140625" customWidth="1"/>
    <col min="13349" max="13355" width="7.42578125" customWidth="1"/>
    <col min="13356" max="13356" width="5.140625" customWidth="1"/>
    <col min="13357" max="13357" width="7.5703125" customWidth="1"/>
    <col min="13358" max="13358" width="4.140625" customWidth="1"/>
    <col min="13359" max="13359" width="6.7109375" customWidth="1"/>
    <col min="13360" max="13360" width="8.42578125" customWidth="1"/>
    <col min="13361" max="13361" width="10.140625" customWidth="1"/>
    <col min="13362" max="13362" width="14" customWidth="1"/>
    <col min="13363" max="13363" width="11.140625" customWidth="1"/>
    <col min="13364" max="13365" width="11.42578125" customWidth="1"/>
    <col min="13571" max="13571" width="3" customWidth="1"/>
    <col min="13572" max="13576" width="22" customWidth="1"/>
    <col min="13577" max="13577" width="7.140625" customWidth="1"/>
    <col min="13578" max="13579" width="6.140625" customWidth="1"/>
    <col min="13580" max="13583" width="6.85546875" customWidth="1"/>
    <col min="13584" max="13585" width="8" customWidth="1"/>
    <col min="13586" max="13586" width="9.7109375" customWidth="1"/>
    <col min="13587" max="13587" width="8.42578125" customWidth="1"/>
    <col min="13588" max="13588" width="9" customWidth="1"/>
    <col min="13589" max="13589" width="5.28515625" customWidth="1"/>
    <col min="13590" max="13590" width="6" customWidth="1"/>
    <col min="13591" max="13591" width="5.140625" customWidth="1"/>
    <col min="13592" max="13592" width="5.28515625" customWidth="1"/>
    <col min="13593" max="13593" width="7.7109375" customWidth="1"/>
    <col min="13594" max="13594" width="4.85546875" customWidth="1"/>
    <col min="13595" max="13595" width="6.28515625" customWidth="1"/>
    <col min="13596" max="13596" width="5" customWidth="1"/>
    <col min="13597" max="13597" width="6.7109375" customWidth="1"/>
    <col min="13598" max="13598" width="4.5703125" customWidth="1"/>
    <col min="13599" max="13599" width="7.85546875" customWidth="1"/>
    <col min="13600" max="13600" width="5" customWidth="1"/>
    <col min="13601" max="13601" width="7.85546875" customWidth="1"/>
    <col min="13602" max="13602" width="4.42578125" customWidth="1"/>
    <col min="13603" max="13603" width="6.85546875" customWidth="1"/>
    <col min="13604" max="13604" width="4.140625" customWidth="1"/>
    <col min="13605" max="13611" width="7.42578125" customWidth="1"/>
    <col min="13612" max="13612" width="5.140625" customWidth="1"/>
    <col min="13613" max="13613" width="7.5703125" customWidth="1"/>
    <col min="13614" max="13614" width="4.140625" customWidth="1"/>
    <col min="13615" max="13615" width="6.7109375" customWidth="1"/>
    <col min="13616" max="13616" width="8.42578125" customWidth="1"/>
    <col min="13617" max="13617" width="10.140625" customWidth="1"/>
    <col min="13618" max="13618" width="14" customWidth="1"/>
    <col min="13619" max="13619" width="11.140625" customWidth="1"/>
    <col min="13620" max="13621" width="11.42578125" customWidth="1"/>
    <col min="13827" max="13827" width="3" customWidth="1"/>
    <col min="13828" max="13832" width="22" customWidth="1"/>
    <col min="13833" max="13833" width="7.140625" customWidth="1"/>
    <col min="13834" max="13835" width="6.140625" customWidth="1"/>
    <col min="13836" max="13839" width="6.85546875" customWidth="1"/>
    <col min="13840" max="13841" width="8" customWidth="1"/>
    <col min="13842" max="13842" width="9.7109375" customWidth="1"/>
    <col min="13843" max="13843" width="8.42578125" customWidth="1"/>
    <col min="13844" max="13844" width="9" customWidth="1"/>
    <col min="13845" max="13845" width="5.28515625" customWidth="1"/>
    <col min="13846" max="13846" width="6" customWidth="1"/>
    <col min="13847" max="13847" width="5.140625" customWidth="1"/>
    <col min="13848" max="13848" width="5.28515625" customWidth="1"/>
    <col min="13849" max="13849" width="7.7109375" customWidth="1"/>
    <col min="13850" max="13850" width="4.85546875" customWidth="1"/>
    <col min="13851" max="13851" width="6.28515625" customWidth="1"/>
    <col min="13852" max="13852" width="5" customWidth="1"/>
    <col min="13853" max="13853" width="6.7109375" customWidth="1"/>
    <col min="13854" max="13854" width="4.5703125" customWidth="1"/>
    <col min="13855" max="13855" width="7.85546875" customWidth="1"/>
    <col min="13856" max="13856" width="5" customWidth="1"/>
    <col min="13857" max="13857" width="7.85546875" customWidth="1"/>
    <col min="13858" max="13858" width="4.42578125" customWidth="1"/>
    <col min="13859" max="13859" width="6.85546875" customWidth="1"/>
    <col min="13860" max="13860" width="4.140625" customWidth="1"/>
    <col min="13861" max="13867" width="7.42578125" customWidth="1"/>
    <col min="13868" max="13868" width="5.140625" customWidth="1"/>
    <col min="13869" max="13869" width="7.5703125" customWidth="1"/>
    <col min="13870" max="13870" width="4.140625" customWidth="1"/>
    <col min="13871" max="13871" width="6.7109375" customWidth="1"/>
    <col min="13872" max="13872" width="8.42578125" customWidth="1"/>
    <col min="13873" max="13873" width="10.140625" customWidth="1"/>
    <col min="13874" max="13874" width="14" customWidth="1"/>
    <col min="13875" max="13875" width="11.140625" customWidth="1"/>
    <col min="13876" max="13877" width="11.42578125" customWidth="1"/>
    <col min="14083" max="14083" width="3" customWidth="1"/>
    <col min="14084" max="14088" width="22" customWidth="1"/>
    <col min="14089" max="14089" width="7.140625" customWidth="1"/>
    <col min="14090" max="14091" width="6.140625" customWidth="1"/>
    <col min="14092" max="14095" width="6.85546875" customWidth="1"/>
    <col min="14096" max="14097" width="8" customWidth="1"/>
    <col min="14098" max="14098" width="9.7109375" customWidth="1"/>
    <col min="14099" max="14099" width="8.42578125" customWidth="1"/>
    <col min="14100" max="14100" width="9" customWidth="1"/>
    <col min="14101" max="14101" width="5.28515625" customWidth="1"/>
    <col min="14102" max="14102" width="6" customWidth="1"/>
    <col min="14103" max="14103" width="5.140625" customWidth="1"/>
    <col min="14104" max="14104" width="5.28515625" customWidth="1"/>
    <col min="14105" max="14105" width="7.7109375" customWidth="1"/>
    <col min="14106" max="14106" width="4.85546875" customWidth="1"/>
    <col min="14107" max="14107" width="6.28515625" customWidth="1"/>
    <col min="14108" max="14108" width="5" customWidth="1"/>
    <col min="14109" max="14109" width="6.7109375" customWidth="1"/>
    <col min="14110" max="14110" width="4.5703125" customWidth="1"/>
    <col min="14111" max="14111" width="7.85546875" customWidth="1"/>
    <col min="14112" max="14112" width="5" customWidth="1"/>
    <col min="14113" max="14113" width="7.85546875" customWidth="1"/>
    <col min="14114" max="14114" width="4.42578125" customWidth="1"/>
    <col min="14115" max="14115" width="6.85546875" customWidth="1"/>
    <col min="14116" max="14116" width="4.140625" customWidth="1"/>
    <col min="14117" max="14123" width="7.42578125" customWidth="1"/>
    <col min="14124" max="14124" width="5.140625" customWidth="1"/>
    <col min="14125" max="14125" width="7.5703125" customWidth="1"/>
    <col min="14126" max="14126" width="4.140625" customWidth="1"/>
    <col min="14127" max="14127" width="6.7109375" customWidth="1"/>
    <col min="14128" max="14128" width="8.42578125" customWidth="1"/>
    <col min="14129" max="14129" width="10.140625" customWidth="1"/>
    <col min="14130" max="14130" width="14" customWidth="1"/>
    <col min="14131" max="14131" width="11.140625" customWidth="1"/>
    <col min="14132" max="14133" width="11.42578125" customWidth="1"/>
    <col min="14339" max="14339" width="3" customWidth="1"/>
    <col min="14340" max="14344" width="22" customWidth="1"/>
    <col min="14345" max="14345" width="7.140625" customWidth="1"/>
    <col min="14346" max="14347" width="6.140625" customWidth="1"/>
    <col min="14348" max="14351" width="6.85546875" customWidth="1"/>
    <col min="14352" max="14353" width="8" customWidth="1"/>
    <col min="14354" max="14354" width="9.7109375" customWidth="1"/>
    <col min="14355" max="14355" width="8.42578125" customWidth="1"/>
    <col min="14356" max="14356" width="9" customWidth="1"/>
    <col min="14357" max="14357" width="5.28515625" customWidth="1"/>
    <col min="14358" max="14358" width="6" customWidth="1"/>
    <col min="14359" max="14359" width="5.140625" customWidth="1"/>
    <col min="14360" max="14360" width="5.28515625" customWidth="1"/>
    <col min="14361" max="14361" width="7.7109375" customWidth="1"/>
    <col min="14362" max="14362" width="4.85546875" customWidth="1"/>
    <col min="14363" max="14363" width="6.28515625" customWidth="1"/>
    <col min="14364" max="14364" width="5" customWidth="1"/>
    <col min="14365" max="14365" width="6.7109375" customWidth="1"/>
    <col min="14366" max="14366" width="4.5703125" customWidth="1"/>
    <col min="14367" max="14367" width="7.85546875" customWidth="1"/>
    <col min="14368" max="14368" width="5" customWidth="1"/>
    <col min="14369" max="14369" width="7.85546875" customWidth="1"/>
    <col min="14370" max="14370" width="4.42578125" customWidth="1"/>
    <col min="14371" max="14371" width="6.85546875" customWidth="1"/>
    <col min="14372" max="14372" width="4.140625" customWidth="1"/>
    <col min="14373" max="14379" width="7.42578125" customWidth="1"/>
    <col min="14380" max="14380" width="5.140625" customWidth="1"/>
    <col min="14381" max="14381" width="7.5703125" customWidth="1"/>
    <col min="14382" max="14382" width="4.140625" customWidth="1"/>
    <col min="14383" max="14383" width="6.7109375" customWidth="1"/>
    <col min="14384" max="14384" width="8.42578125" customWidth="1"/>
    <col min="14385" max="14385" width="10.140625" customWidth="1"/>
    <col min="14386" max="14386" width="14" customWidth="1"/>
    <col min="14387" max="14387" width="11.140625" customWidth="1"/>
    <col min="14388" max="14389" width="11.42578125" customWidth="1"/>
    <col min="14595" max="14595" width="3" customWidth="1"/>
    <col min="14596" max="14600" width="22" customWidth="1"/>
    <col min="14601" max="14601" width="7.140625" customWidth="1"/>
    <col min="14602" max="14603" width="6.140625" customWidth="1"/>
    <col min="14604" max="14607" width="6.85546875" customWidth="1"/>
    <col min="14608" max="14609" width="8" customWidth="1"/>
    <col min="14610" max="14610" width="9.7109375" customWidth="1"/>
    <col min="14611" max="14611" width="8.42578125" customWidth="1"/>
    <col min="14612" max="14612" width="9" customWidth="1"/>
    <col min="14613" max="14613" width="5.28515625" customWidth="1"/>
    <col min="14614" max="14614" width="6" customWidth="1"/>
    <col min="14615" max="14615" width="5.140625" customWidth="1"/>
    <col min="14616" max="14616" width="5.28515625" customWidth="1"/>
    <col min="14617" max="14617" width="7.7109375" customWidth="1"/>
    <col min="14618" max="14618" width="4.85546875" customWidth="1"/>
    <col min="14619" max="14619" width="6.28515625" customWidth="1"/>
    <col min="14620" max="14620" width="5" customWidth="1"/>
    <col min="14621" max="14621" width="6.7109375" customWidth="1"/>
    <col min="14622" max="14622" width="4.5703125" customWidth="1"/>
    <col min="14623" max="14623" width="7.85546875" customWidth="1"/>
    <col min="14624" max="14624" width="5" customWidth="1"/>
    <col min="14625" max="14625" width="7.85546875" customWidth="1"/>
    <col min="14626" max="14626" width="4.42578125" customWidth="1"/>
    <col min="14627" max="14627" width="6.85546875" customWidth="1"/>
    <col min="14628" max="14628" width="4.140625" customWidth="1"/>
    <col min="14629" max="14635" width="7.42578125" customWidth="1"/>
    <col min="14636" max="14636" width="5.140625" customWidth="1"/>
    <col min="14637" max="14637" width="7.5703125" customWidth="1"/>
    <col min="14638" max="14638" width="4.140625" customWidth="1"/>
    <col min="14639" max="14639" width="6.7109375" customWidth="1"/>
    <col min="14640" max="14640" width="8.42578125" customWidth="1"/>
    <col min="14641" max="14641" width="10.140625" customWidth="1"/>
    <col min="14642" max="14642" width="14" customWidth="1"/>
    <col min="14643" max="14643" width="11.140625" customWidth="1"/>
    <col min="14644" max="14645" width="11.42578125" customWidth="1"/>
    <col min="14851" max="14851" width="3" customWidth="1"/>
    <col min="14852" max="14856" width="22" customWidth="1"/>
    <col min="14857" max="14857" width="7.140625" customWidth="1"/>
    <col min="14858" max="14859" width="6.140625" customWidth="1"/>
    <col min="14860" max="14863" width="6.85546875" customWidth="1"/>
    <col min="14864" max="14865" width="8" customWidth="1"/>
    <col min="14866" max="14866" width="9.7109375" customWidth="1"/>
    <col min="14867" max="14867" width="8.42578125" customWidth="1"/>
    <col min="14868" max="14868" width="9" customWidth="1"/>
    <col min="14869" max="14869" width="5.28515625" customWidth="1"/>
    <col min="14870" max="14870" width="6" customWidth="1"/>
    <col min="14871" max="14871" width="5.140625" customWidth="1"/>
    <col min="14872" max="14872" width="5.28515625" customWidth="1"/>
    <col min="14873" max="14873" width="7.7109375" customWidth="1"/>
    <col min="14874" max="14874" width="4.85546875" customWidth="1"/>
    <col min="14875" max="14875" width="6.28515625" customWidth="1"/>
    <col min="14876" max="14876" width="5" customWidth="1"/>
    <col min="14877" max="14877" width="6.7109375" customWidth="1"/>
    <col min="14878" max="14878" width="4.5703125" customWidth="1"/>
    <col min="14879" max="14879" width="7.85546875" customWidth="1"/>
    <col min="14880" max="14880" width="5" customWidth="1"/>
    <col min="14881" max="14881" width="7.85546875" customWidth="1"/>
    <col min="14882" max="14882" width="4.42578125" customWidth="1"/>
    <col min="14883" max="14883" width="6.85546875" customWidth="1"/>
    <col min="14884" max="14884" width="4.140625" customWidth="1"/>
    <col min="14885" max="14891" width="7.42578125" customWidth="1"/>
    <col min="14892" max="14892" width="5.140625" customWidth="1"/>
    <col min="14893" max="14893" width="7.5703125" customWidth="1"/>
    <col min="14894" max="14894" width="4.140625" customWidth="1"/>
    <col min="14895" max="14895" width="6.7109375" customWidth="1"/>
    <col min="14896" max="14896" width="8.42578125" customWidth="1"/>
    <col min="14897" max="14897" width="10.140625" customWidth="1"/>
    <col min="14898" max="14898" width="14" customWidth="1"/>
    <col min="14899" max="14899" width="11.140625" customWidth="1"/>
    <col min="14900" max="14901" width="11.42578125" customWidth="1"/>
    <col min="15107" max="15107" width="3" customWidth="1"/>
    <col min="15108" max="15112" width="22" customWidth="1"/>
    <col min="15113" max="15113" width="7.140625" customWidth="1"/>
    <col min="15114" max="15115" width="6.140625" customWidth="1"/>
    <col min="15116" max="15119" width="6.85546875" customWidth="1"/>
    <col min="15120" max="15121" width="8" customWidth="1"/>
    <col min="15122" max="15122" width="9.7109375" customWidth="1"/>
    <col min="15123" max="15123" width="8.42578125" customWidth="1"/>
    <col min="15124" max="15124" width="9" customWidth="1"/>
    <col min="15125" max="15125" width="5.28515625" customWidth="1"/>
    <col min="15126" max="15126" width="6" customWidth="1"/>
    <col min="15127" max="15127" width="5.140625" customWidth="1"/>
    <col min="15128" max="15128" width="5.28515625" customWidth="1"/>
    <col min="15129" max="15129" width="7.7109375" customWidth="1"/>
    <col min="15130" max="15130" width="4.85546875" customWidth="1"/>
    <col min="15131" max="15131" width="6.28515625" customWidth="1"/>
    <col min="15132" max="15132" width="5" customWidth="1"/>
    <col min="15133" max="15133" width="6.7109375" customWidth="1"/>
    <col min="15134" max="15134" width="4.5703125" customWidth="1"/>
    <col min="15135" max="15135" width="7.85546875" customWidth="1"/>
    <col min="15136" max="15136" width="5" customWidth="1"/>
    <col min="15137" max="15137" width="7.85546875" customWidth="1"/>
    <col min="15138" max="15138" width="4.42578125" customWidth="1"/>
    <col min="15139" max="15139" width="6.85546875" customWidth="1"/>
    <col min="15140" max="15140" width="4.140625" customWidth="1"/>
    <col min="15141" max="15147" width="7.42578125" customWidth="1"/>
    <col min="15148" max="15148" width="5.140625" customWidth="1"/>
    <col min="15149" max="15149" width="7.5703125" customWidth="1"/>
    <col min="15150" max="15150" width="4.140625" customWidth="1"/>
    <col min="15151" max="15151" width="6.7109375" customWidth="1"/>
    <col min="15152" max="15152" width="8.42578125" customWidth="1"/>
    <col min="15153" max="15153" width="10.140625" customWidth="1"/>
    <col min="15154" max="15154" width="14" customWidth="1"/>
    <col min="15155" max="15155" width="11.140625" customWidth="1"/>
    <col min="15156" max="15157" width="11.42578125" customWidth="1"/>
    <col min="15363" max="15363" width="3" customWidth="1"/>
    <col min="15364" max="15368" width="22" customWidth="1"/>
    <col min="15369" max="15369" width="7.140625" customWidth="1"/>
    <col min="15370" max="15371" width="6.140625" customWidth="1"/>
    <col min="15372" max="15375" width="6.85546875" customWidth="1"/>
    <col min="15376" max="15377" width="8" customWidth="1"/>
    <col min="15378" max="15378" width="9.7109375" customWidth="1"/>
    <col min="15379" max="15379" width="8.42578125" customWidth="1"/>
    <col min="15380" max="15380" width="9" customWidth="1"/>
    <col min="15381" max="15381" width="5.28515625" customWidth="1"/>
    <col min="15382" max="15382" width="6" customWidth="1"/>
    <col min="15383" max="15383" width="5.140625" customWidth="1"/>
    <col min="15384" max="15384" width="5.28515625" customWidth="1"/>
    <col min="15385" max="15385" width="7.7109375" customWidth="1"/>
    <col min="15386" max="15386" width="4.85546875" customWidth="1"/>
    <col min="15387" max="15387" width="6.28515625" customWidth="1"/>
    <col min="15388" max="15388" width="5" customWidth="1"/>
    <col min="15389" max="15389" width="6.7109375" customWidth="1"/>
    <col min="15390" max="15390" width="4.5703125" customWidth="1"/>
    <col min="15391" max="15391" width="7.85546875" customWidth="1"/>
    <col min="15392" max="15392" width="5" customWidth="1"/>
    <col min="15393" max="15393" width="7.85546875" customWidth="1"/>
    <col min="15394" max="15394" width="4.42578125" customWidth="1"/>
    <col min="15395" max="15395" width="6.85546875" customWidth="1"/>
    <col min="15396" max="15396" width="4.140625" customWidth="1"/>
    <col min="15397" max="15403" width="7.42578125" customWidth="1"/>
    <col min="15404" max="15404" width="5.140625" customWidth="1"/>
    <col min="15405" max="15405" width="7.5703125" customWidth="1"/>
    <col min="15406" max="15406" width="4.140625" customWidth="1"/>
    <col min="15407" max="15407" width="6.7109375" customWidth="1"/>
    <col min="15408" max="15408" width="8.42578125" customWidth="1"/>
    <col min="15409" max="15409" width="10.140625" customWidth="1"/>
    <col min="15410" max="15410" width="14" customWidth="1"/>
    <col min="15411" max="15411" width="11.140625" customWidth="1"/>
    <col min="15412" max="15413" width="11.42578125" customWidth="1"/>
    <col min="15619" max="15619" width="3" customWidth="1"/>
    <col min="15620" max="15624" width="22" customWidth="1"/>
    <col min="15625" max="15625" width="7.140625" customWidth="1"/>
    <col min="15626" max="15627" width="6.140625" customWidth="1"/>
    <col min="15628" max="15631" width="6.85546875" customWidth="1"/>
    <col min="15632" max="15633" width="8" customWidth="1"/>
    <col min="15634" max="15634" width="9.7109375" customWidth="1"/>
    <col min="15635" max="15635" width="8.42578125" customWidth="1"/>
    <col min="15636" max="15636" width="9" customWidth="1"/>
    <col min="15637" max="15637" width="5.28515625" customWidth="1"/>
    <col min="15638" max="15638" width="6" customWidth="1"/>
    <col min="15639" max="15639" width="5.140625" customWidth="1"/>
    <col min="15640" max="15640" width="5.28515625" customWidth="1"/>
    <col min="15641" max="15641" width="7.7109375" customWidth="1"/>
    <col min="15642" max="15642" width="4.85546875" customWidth="1"/>
    <col min="15643" max="15643" width="6.28515625" customWidth="1"/>
    <col min="15644" max="15644" width="5" customWidth="1"/>
    <col min="15645" max="15645" width="6.7109375" customWidth="1"/>
    <col min="15646" max="15646" width="4.5703125" customWidth="1"/>
    <col min="15647" max="15647" width="7.85546875" customWidth="1"/>
    <col min="15648" max="15648" width="5" customWidth="1"/>
    <col min="15649" max="15649" width="7.85546875" customWidth="1"/>
    <col min="15650" max="15650" width="4.42578125" customWidth="1"/>
    <col min="15651" max="15651" width="6.85546875" customWidth="1"/>
    <col min="15652" max="15652" width="4.140625" customWidth="1"/>
    <col min="15653" max="15659" width="7.42578125" customWidth="1"/>
    <col min="15660" max="15660" width="5.140625" customWidth="1"/>
    <col min="15661" max="15661" width="7.5703125" customWidth="1"/>
    <col min="15662" max="15662" width="4.140625" customWidth="1"/>
    <col min="15663" max="15663" width="6.7109375" customWidth="1"/>
    <col min="15664" max="15664" width="8.42578125" customWidth="1"/>
    <col min="15665" max="15665" width="10.140625" customWidth="1"/>
    <col min="15666" max="15666" width="14" customWidth="1"/>
    <col min="15667" max="15667" width="11.140625" customWidth="1"/>
    <col min="15668" max="15669" width="11.42578125" customWidth="1"/>
    <col min="15875" max="15875" width="3" customWidth="1"/>
    <col min="15876" max="15880" width="22" customWidth="1"/>
    <col min="15881" max="15881" width="7.140625" customWidth="1"/>
    <col min="15882" max="15883" width="6.140625" customWidth="1"/>
    <col min="15884" max="15887" width="6.85546875" customWidth="1"/>
    <col min="15888" max="15889" width="8" customWidth="1"/>
    <col min="15890" max="15890" width="9.7109375" customWidth="1"/>
    <col min="15891" max="15891" width="8.42578125" customWidth="1"/>
    <col min="15892" max="15892" width="9" customWidth="1"/>
    <col min="15893" max="15893" width="5.28515625" customWidth="1"/>
    <col min="15894" max="15894" width="6" customWidth="1"/>
    <col min="15895" max="15895" width="5.140625" customWidth="1"/>
    <col min="15896" max="15896" width="5.28515625" customWidth="1"/>
    <col min="15897" max="15897" width="7.7109375" customWidth="1"/>
    <col min="15898" max="15898" width="4.85546875" customWidth="1"/>
    <col min="15899" max="15899" width="6.28515625" customWidth="1"/>
    <col min="15900" max="15900" width="5" customWidth="1"/>
    <col min="15901" max="15901" width="6.7109375" customWidth="1"/>
    <col min="15902" max="15902" width="4.5703125" customWidth="1"/>
    <col min="15903" max="15903" width="7.85546875" customWidth="1"/>
    <col min="15904" max="15904" width="5" customWidth="1"/>
    <col min="15905" max="15905" width="7.85546875" customWidth="1"/>
    <col min="15906" max="15906" width="4.42578125" customWidth="1"/>
    <col min="15907" max="15907" width="6.85546875" customWidth="1"/>
    <col min="15908" max="15908" width="4.140625" customWidth="1"/>
    <col min="15909" max="15915" width="7.42578125" customWidth="1"/>
    <col min="15916" max="15916" width="5.140625" customWidth="1"/>
    <col min="15917" max="15917" width="7.5703125" customWidth="1"/>
    <col min="15918" max="15918" width="4.140625" customWidth="1"/>
    <col min="15919" max="15919" width="6.7109375" customWidth="1"/>
    <col min="15920" max="15920" width="8.42578125" customWidth="1"/>
    <col min="15921" max="15921" width="10.140625" customWidth="1"/>
    <col min="15922" max="15922" width="14" customWidth="1"/>
    <col min="15923" max="15923" width="11.140625" customWidth="1"/>
    <col min="15924" max="15925" width="11.42578125" customWidth="1"/>
    <col min="16131" max="16131" width="3" customWidth="1"/>
    <col min="16132" max="16136" width="22" customWidth="1"/>
    <col min="16137" max="16137" width="7.140625" customWidth="1"/>
    <col min="16138" max="16139" width="6.140625" customWidth="1"/>
    <col min="16140" max="16143" width="6.85546875" customWidth="1"/>
    <col min="16144" max="16145" width="8" customWidth="1"/>
    <col min="16146" max="16146" width="9.7109375" customWidth="1"/>
    <col min="16147" max="16147" width="8.42578125" customWidth="1"/>
    <col min="16148" max="16148" width="9" customWidth="1"/>
    <col min="16149" max="16149" width="5.28515625" customWidth="1"/>
    <col min="16150" max="16150" width="6" customWidth="1"/>
    <col min="16151" max="16151" width="5.140625" customWidth="1"/>
    <col min="16152" max="16152" width="5.28515625" customWidth="1"/>
    <col min="16153" max="16153" width="7.7109375" customWidth="1"/>
    <col min="16154" max="16154" width="4.85546875" customWidth="1"/>
    <col min="16155" max="16155" width="6.28515625" customWidth="1"/>
    <col min="16156" max="16156" width="5" customWidth="1"/>
    <col min="16157" max="16157" width="6.7109375" customWidth="1"/>
    <col min="16158" max="16158" width="4.5703125" customWidth="1"/>
    <col min="16159" max="16159" width="7.85546875" customWidth="1"/>
    <col min="16160" max="16160" width="5" customWidth="1"/>
    <col min="16161" max="16161" width="7.85546875" customWidth="1"/>
    <col min="16162" max="16162" width="4.42578125" customWidth="1"/>
    <col min="16163" max="16163" width="6.85546875" customWidth="1"/>
    <col min="16164" max="16164" width="4.140625" customWidth="1"/>
    <col min="16165" max="16171" width="7.42578125" customWidth="1"/>
    <col min="16172" max="16172" width="5.140625" customWidth="1"/>
    <col min="16173" max="16173" width="7.5703125" customWidth="1"/>
    <col min="16174" max="16174" width="4.140625" customWidth="1"/>
    <col min="16175" max="16175" width="6.7109375" customWidth="1"/>
    <col min="16176" max="16176" width="8.42578125" customWidth="1"/>
    <col min="16177" max="16177" width="10.140625" customWidth="1"/>
    <col min="16178" max="16178" width="14" customWidth="1"/>
    <col min="16179" max="16179" width="11.140625" customWidth="1"/>
    <col min="16180" max="16181" width="11.42578125" customWidth="1"/>
  </cols>
  <sheetData>
    <row r="1" spans="1:57" ht="19.5" customHeight="1">
      <c r="A1" s="213" t="s">
        <v>291</v>
      </c>
      <c r="B1" s="212"/>
      <c r="C1" s="212"/>
      <c r="D1" s="212"/>
      <c r="E1" s="21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7" ht="19.5" customHeight="1">
      <c r="A2" s="212" t="s">
        <v>330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7" ht="24.75" customHeight="1">
      <c r="A3" s="212" t="s">
        <v>411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3"/>
      <c r="Y3" s="3"/>
      <c r="Z3" s="3"/>
      <c r="AA3" s="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7" ht="95.25" customHeight="1">
      <c r="A4" s="275" t="s">
        <v>0</v>
      </c>
      <c r="B4" s="277" t="s">
        <v>1</v>
      </c>
      <c r="C4" s="277" t="s">
        <v>2</v>
      </c>
      <c r="D4" s="277" t="s">
        <v>3</v>
      </c>
      <c r="E4" s="277" t="s">
        <v>4</v>
      </c>
      <c r="F4" s="281" t="s">
        <v>5</v>
      </c>
      <c r="G4" s="266" t="s">
        <v>6</v>
      </c>
      <c r="H4" s="266" t="s">
        <v>7</v>
      </c>
      <c r="I4" s="266" t="s">
        <v>8</v>
      </c>
      <c r="J4" s="266" t="s">
        <v>9</v>
      </c>
      <c r="K4" s="266" t="s">
        <v>10</v>
      </c>
      <c r="L4" s="266" t="s">
        <v>11</v>
      </c>
      <c r="M4" s="266" t="s">
        <v>12</v>
      </c>
      <c r="N4" s="266" t="s">
        <v>12</v>
      </c>
      <c r="O4" s="266" t="s">
        <v>13</v>
      </c>
      <c r="P4" s="266" t="s">
        <v>14</v>
      </c>
      <c r="Q4" s="266" t="s">
        <v>15</v>
      </c>
      <c r="R4" s="266" t="s">
        <v>16</v>
      </c>
      <c r="S4" s="272" t="s">
        <v>17</v>
      </c>
      <c r="T4" s="273"/>
      <c r="U4" s="274"/>
      <c r="V4" s="271" t="s">
        <v>18</v>
      </c>
      <c r="W4" s="271"/>
      <c r="X4" s="271" t="s">
        <v>19</v>
      </c>
      <c r="Y4" s="271"/>
      <c r="Z4" s="272" t="s">
        <v>20</v>
      </c>
      <c r="AA4" s="274"/>
      <c r="AB4" s="272" t="s">
        <v>21</v>
      </c>
      <c r="AC4" s="274"/>
      <c r="AD4" s="271" t="s">
        <v>22</v>
      </c>
      <c r="AE4" s="271"/>
      <c r="AF4" s="271" t="s">
        <v>23</v>
      </c>
      <c r="AG4" s="271"/>
      <c r="AH4" s="271" t="s">
        <v>24</v>
      </c>
      <c r="AI4" s="271"/>
      <c r="AJ4" s="272" t="s">
        <v>25</v>
      </c>
      <c r="AK4" s="273"/>
      <c r="AL4" s="273"/>
      <c r="AM4" s="274"/>
      <c r="AN4" s="272" t="s">
        <v>263</v>
      </c>
      <c r="AO4" s="273"/>
      <c r="AP4" s="274"/>
      <c r="AQ4" s="271" t="s">
        <v>26</v>
      </c>
      <c r="AR4" s="271"/>
      <c r="AS4" s="272" t="s">
        <v>27</v>
      </c>
      <c r="AT4" s="273"/>
      <c r="AU4" s="274"/>
      <c r="AV4" s="270">
        <v>0.1</v>
      </c>
      <c r="AW4" s="271"/>
      <c r="AX4" s="266" t="s">
        <v>28</v>
      </c>
      <c r="AY4" s="266" t="s">
        <v>29</v>
      </c>
      <c r="AZ4" s="266" t="s">
        <v>30</v>
      </c>
      <c r="BA4" s="268" t="s">
        <v>335</v>
      </c>
      <c r="BB4" s="268" t="s">
        <v>336</v>
      </c>
    </row>
    <row r="5" spans="1:57" ht="40.5" customHeight="1">
      <c r="A5" s="276"/>
      <c r="B5" s="278"/>
      <c r="C5" s="278"/>
      <c r="D5" s="278"/>
      <c r="E5" s="278"/>
      <c r="F5" s="282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15" t="s">
        <v>31</v>
      </c>
      <c r="T5" s="215" t="s">
        <v>32</v>
      </c>
      <c r="U5" s="215" t="s">
        <v>33</v>
      </c>
      <c r="V5" s="215" t="s">
        <v>34</v>
      </c>
      <c r="W5" s="215" t="s">
        <v>35</v>
      </c>
      <c r="X5" s="215" t="s">
        <v>36</v>
      </c>
      <c r="Y5" s="215" t="s">
        <v>37</v>
      </c>
      <c r="Z5" s="215" t="s">
        <v>38</v>
      </c>
      <c r="AA5" s="215" t="s">
        <v>35</v>
      </c>
      <c r="AB5" s="215" t="s">
        <v>39</v>
      </c>
      <c r="AC5" s="215" t="s">
        <v>35</v>
      </c>
      <c r="AD5" s="215" t="s">
        <v>36</v>
      </c>
      <c r="AE5" s="215" t="s">
        <v>35</v>
      </c>
      <c r="AF5" s="215" t="s">
        <v>36</v>
      </c>
      <c r="AG5" s="215" t="s">
        <v>35</v>
      </c>
      <c r="AH5" s="215" t="s">
        <v>36</v>
      </c>
      <c r="AI5" s="215" t="s">
        <v>35</v>
      </c>
      <c r="AJ5" s="215" t="s">
        <v>36</v>
      </c>
      <c r="AK5" s="215" t="s">
        <v>31</v>
      </c>
      <c r="AL5" s="215" t="s">
        <v>40</v>
      </c>
      <c r="AM5" s="215" t="s">
        <v>41</v>
      </c>
      <c r="AN5" s="215" t="s">
        <v>31</v>
      </c>
      <c r="AO5" s="215" t="s">
        <v>35</v>
      </c>
      <c r="AP5" s="215" t="s">
        <v>36</v>
      </c>
      <c r="AQ5" s="215" t="s">
        <v>36</v>
      </c>
      <c r="AR5" s="215" t="s">
        <v>35</v>
      </c>
      <c r="AS5" s="215" t="s">
        <v>36</v>
      </c>
      <c r="AT5" s="215" t="s">
        <v>31</v>
      </c>
      <c r="AU5" s="215" t="s">
        <v>35</v>
      </c>
      <c r="AV5" s="215" t="s">
        <v>36</v>
      </c>
      <c r="AW5" s="215" t="s">
        <v>35</v>
      </c>
      <c r="AX5" s="267"/>
      <c r="AY5" s="267"/>
      <c r="AZ5" s="267"/>
      <c r="BA5" s="269"/>
      <c r="BB5" s="269"/>
    </row>
    <row r="6" spans="1:57">
      <c r="A6" s="103">
        <v>1</v>
      </c>
      <c r="B6" s="153">
        <v>2</v>
      </c>
      <c r="C6" s="153">
        <v>3</v>
      </c>
      <c r="D6" s="153">
        <v>4</v>
      </c>
      <c r="E6" s="153">
        <v>5</v>
      </c>
      <c r="F6" s="153">
        <v>6</v>
      </c>
      <c r="G6" s="63">
        <v>7</v>
      </c>
      <c r="H6" s="63">
        <v>8</v>
      </c>
      <c r="I6" s="63">
        <v>9</v>
      </c>
      <c r="J6" s="63">
        <v>10</v>
      </c>
      <c r="K6" s="63">
        <v>11</v>
      </c>
      <c r="L6" s="63">
        <v>12</v>
      </c>
      <c r="M6" s="63">
        <v>13</v>
      </c>
      <c r="N6" s="63">
        <v>14</v>
      </c>
      <c r="O6" s="63">
        <v>15</v>
      </c>
      <c r="P6" s="63">
        <v>16</v>
      </c>
      <c r="Q6" s="63">
        <v>17</v>
      </c>
      <c r="R6" s="63">
        <v>18</v>
      </c>
      <c r="S6" s="63">
        <v>19</v>
      </c>
      <c r="T6" s="63">
        <v>20</v>
      </c>
      <c r="U6" s="63">
        <v>21</v>
      </c>
      <c r="V6" s="63">
        <v>22</v>
      </c>
      <c r="W6" s="63">
        <v>23</v>
      </c>
      <c r="X6" s="63">
        <v>24</v>
      </c>
      <c r="Y6" s="63">
        <v>25</v>
      </c>
      <c r="Z6" s="63">
        <v>26</v>
      </c>
      <c r="AA6" s="63">
        <v>27</v>
      </c>
      <c r="AB6" s="63">
        <v>28</v>
      </c>
      <c r="AC6" s="63">
        <f t="shared" ref="AC6:AX6" si="0">AB6+1</f>
        <v>29</v>
      </c>
      <c r="AD6" s="63">
        <f t="shared" si="0"/>
        <v>30</v>
      </c>
      <c r="AE6" s="63">
        <f t="shared" si="0"/>
        <v>31</v>
      </c>
      <c r="AF6" s="63">
        <v>32</v>
      </c>
      <c r="AG6" s="63">
        <v>33</v>
      </c>
      <c r="AH6" s="63">
        <v>34</v>
      </c>
      <c r="AI6" s="63">
        <f t="shared" si="0"/>
        <v>35</v>
      </c>
      <c r="AJ6" s="63">
        <f>AI6+1</f>
        <v>36</v>
      </c>
      <c r="AK6" s="63">
        <f t="shared" si="0"/>
        <v>37</v>
      </c>
      <c r="AL6" s="63">
        <v>38</v>
      </c>
      <c r="AM6" s="63">
        <v>39</v>
      </c>
      <c r="AN6" s="63">
        <v>40</v>
      </c>
      <c r="AO6" s="63">
        <v>41</v>
      </c>
      <c r="AP6" s="63">
        <v>42</v>
      </c>
      <c r="AQ6" s="63">
        <v>43</v>
      </c>
      <c r="AR6" s="63">
        <v>44</v>
      </c>
      <c r="AS6" s="63">
        <v>45</v>
      </c>
      <c r="AT6" s="63">
        <v>46</v>
      </c>
      <c r="AU6" s="63">
        <v>47</v>
      </c>
      <c r="AV6" s="63">
        <v>48</v>
      </c>
      <c r="AW6" s="63">
        <f t="shared" si="0"/>
        <v>49</v>
      </c>
      <c r="AX6" s="63">
        <f t="shared" si="0"/>
        <v>50</v>
      </c>
      <c r="AY6" s="63">
        <v>51</v>
      </c>
      <c r="AZ6" s="63">
        <v>52</v>
      </c>
      <c r="BA6" s="216">
        <v>53</v>
      </c>
      <c r="BB6" s="216">
        <v>54</v>
      </c>
    </row>
    <row r="7" spans="1:57">
      <c r="A7" s="24">
        <v>1</v>
      </c>
      <c r="B7" s="18" t="s">
        <v>52</v>
      </c>
      <c r="C7" s="25" t="s">
        <v>113</v>
      </c>
      <c r="D7" s="36" t="s">
        <v>191</v>
      </c>
      <c r="E7" s="41" t="s">
        <v>203</v>
      </c>
      <c r="F7" s="33" t="s">
        <v>249</v>
      </c>
      <c r="G7" s="72">
        <v>17697</v>
      </c>
      <c r="H7" s="33">
        <v>2</v>
      </c>
      <c r="I7" s="50"/>
      <c r="J7" s="33"/>
      <c r="K7" s="56">
        <v>4.66</v>
      </c>
      <c r="L7" s="56"/>
      <c r="M7" s="65">
        <f t="shared" ref="M7:M17" si="1">G7*K7/18*H7</f>
        <v>9163.1133333333346</v>
      </c>
      <c r="N7" s="65">
        <f t="shared" ref="N7:N17" si="2">G7*L7*J7</f>
        <v>0</v>
      </c>
      <c r="O7" s="65">
        <f t="shared" ref="O7:O17" si="3">(M7+N7)*1.25</f>
        <v>11453.891666666668</v>
      </c>
      <c r="P7" s="65">
        <f t="shared" ref="P7:P17" si="4">O7*25%</f>
        <v>2863.4729166666671</v>
      </c>
      <c r="Q7" s="65">
        <f t="shared" ref="Q7:Q17" si="5">O7+P7</f>
        <v>14317.364583333336</v>
      </c>
      <c r="R7" s="64">
        <f t="shared" ref="R7:R17" si="6">U7+W7+Y7+AA7+AC7+AE7+AG7+AI7+AM7+AO7+AR7+AU7+AW7</f>
        <v>5726.9458333333341</v>
      </c>
      <c r="S7" s="72"/>
      <c r="T7" s="72"/>
      <c r="U7" s="73"/>
      <c r="V7" s="73"/>
      <c r="W7" s="74"/>
      <c r="X7" s="6"/>
      <c r="Y7" s="6"/>
      <c r="Z7" s="66"/>
      <c r="AA7" s="6"/>
      <c r="AB7" s="77"/>
      <c r="AC7" s="71"/>
      <c r="AD7" s="6"/>
      <c r="AE7" s="6"/>
      <c r="AF7" s="6"/>
      <c r="AG7" s="6"/>
      <c r="AH7" s="6"/>
      <c r="AI7" s="6"/>
      <c r="AJ7" s="66"/>
      <c r="AK7" s="48"/>
      <c r="AL7" s="84"/>
      <c r="AM7" s="81"/>
      <c r="AN7" s="48"/>
      <c r="AO7" s="81"/>
      <c r="AP7" s="66"/>
      <c r="AQ7" s="6"/>
      <c r="AR7" s="6"/>
      <c r="AS7" s="80">
        <v>0.3</v>
      </c>
      <c r="AT7" s="33">
        <v>2</v>
      </c>
      <c r="AU7" s="71">
        <f t="shared" ref="AU7:AU14" si="7">((G7*K7/18*AT7*1.25)*AS7+(((G7*K7/18*AT7*1.25)*AS7)*25%))</f>
        <v>4295.2093750000004</v>
      </c>
      <c r="AV7" s="80">
        <v>0.1</v>
      </c>
      <c r="AW7" s="71">
        <f t="shared" ref="AW7:AW17" si="8">Q7*AV7</f>
        <v>1431.7364583333338</v>
      </c>
      <c r="AX7" s="64">
        <f t="shared" ref="AX7:AX17" si="9">SUM(Q7+R7)</f>
        <v>20044.310416666671</v>
      </c>
      <c r="AY7" s="71">
        <f t="shared" ref="AY7:AY17" si="10">Q7</f>
        <v>14317.364583333336</v>
      </c>
      <c r="AZ7" s="64">
        <f t="shared" ref="AZ7:AZ17" si="11">AX7*12</f>
        <v>240531.72500000003</v>
      </c>
      <c r="BA7" s="154"/>
      <c r="BB7" s="154"/>
      <c r="BE7" s="148"/>
    </row>
    <row r="8" spans="1:57">
      <c r="A8" s="5">
        <v>2</v>
      </c>
      <c r="B8" s="18" t="s">
        <v>54</v>
      </c>
      <c r="C8" s="27" t="s">
        <v>114</v>
      </c>
      <c r="D8" s="36" t="s">
        <v>191</v>
      </c>
      <c r="E8" s="41" t="s">
        <v>205</v>
      </c>
      <c r="F8" s="33" t="s">
        <v>247</v>
      </c>
      <c r="G8" s="72">
        <v>17697</v>
      </c>
      <c r="H8" s="33">
        <v>2</v>
      </c>
      <c r="I8" s="50"/>
      <c r="J8" s="33"/>
      <c r="K8" s="56">
        <v>5.2</v>
      </c>
      <c r="L8" s="56"/>
      <c r="M8" s="65">
        <f t="shared" si="1"/>
        <v>10224.933333333334</v>
      </c>
      <c r="N8" s="65">
        <f t="shared" si="2"/>
        <v>0</v>
      </c>
      <c r="O8" s="65">
        <f t="shared" si="3"/>
        <v>12781.166666666668</v>
      </c>
      <c r="P8" s="65">
        <f t="shared" si="4"/>
        <v>3195.291666666667</v>
      </c>
      <c r="Q8" s="65">
        <f t="shared" si="5"/>
        <v>15976.458333333336</v>
      </c>
      <c r="R8" s="64">
        <f t="shared" si="6"/>
        <v>6882.166666666667</v>
      </c>
      <c r="S8" s="72"/>
      <c r="T8" s="72"/>
      <c r="U8" s="73"/>
      <c r="V8" s="73"/>
      <c r="W8" s="74"/>
      <c r="X8" s="6"/>
      <c r="Y8" s="6"/>
      <c r="Z8" s="66"/>
      <c r="AA8" s="6"/>
      <c r="AB8" s="77">
        <v>0.5</v>
      </c>
      <c r="AC8" s="71">
        <f>G8*AB8/18*1</f>
        <v>491.58333333333331</v>
      </c>
      <c r="AD8" s="6"/>
      <c r="AE8" s="6"/>
      <c r="AF8" s="6"/>
      <c r="AG8" s="6"/>
      <c r="AH8" s="6"/>
      <c r="AI8" s="6"/>
      <c r="AJ8" s="70"/>
      <c r="AK8" s="48"/>
      <c r="AL8" s="84"/>
      <c r="AM8" s="77"/>
      <c r="AN8" s="48"/>
      <c r="AO8" s="77"/>
      <c r="AP8" s="70"/>
      <c r="AQ8" s="6"/>
      <c r="AR8" s="6"/>
      <c r="AS8" s="80">
        <v>0.3</v>
      </c>
      <c r="AT8" s="33">
        <v>2</v>
      </c>
      <c r="AU8" s="71">
        <f t="shared" si="7"/>
        <v>4792.9375</v>
      </c>
      <c r="AV8" s="80">
        <v>0.1</v>
      </c>
      <c r="AW8" s="71">
        <f t="shared" si="8"/>
        <v>1597.6458333333337</v>
      </c>
      <c r="AX8" s="64">
        <f t="shared" si="9"/>
        <v>22858.625000000004</v>
      </c>
      <c r="AY8" s="71">
        <f t="shared" si="10"/>
        <v>15976.458333333336</v>
      </c>
      <c r="AZ8" s="64">
        <f t="shared" si="11"/>
        <v>274303.50000000006</v>
      </c>
      <c r="BA8" s="154"/>
      <c r="BB8" s="154"/>
    </row>
    <row r="9" spans="1:57">
      <c r="A9" s="5">
        <v>3</v>
      </c>
      <c r="B9" s="18" t="s">
        <v>56</v>
      </c>
      <c r="C9" s="27" t="s">
        <v>114</v>
      </c>
      <c r="D9" s="36" t="s">
        <v>191</v>
      </c>
      <c r="E9" s="41" t="s">
        <v>207</v>
      </c>
      <c r="F9" s="33" t="s">
        <v>249</v>
      </c>
      <c r="G9" s="72">
        <v>17697</v>
      </c>
      <c r="H9" s="33">
        <v>2</v>
      </c>
      <c r="I9" s="50"/>
      <c r="J9" s="33"/>
      <c r="K9" s="56">
        <v>4.99</v>
      </c>
      <c r="L9" s="56"/>
      <c r="M9" s="65">
        <f t="shared" si="1"/>
        <v>9812.003333333334</v>
      </c>
      <c r="N9" s="65">
        <f t="shared" si="2"/>
        <v>0</v>
      </c>
      <c r="O9" s="65">
        <f t="shared" si="3"/>
        <v>12265.004166666668</v>
      </c>
      <c r="P9" s="65">
        <f t="shared" si="4"/>
        <v>3066.2510416666669</v>
      </c>
      <c r="Q9" s="65">
        <f t="shared" si="5"/>
        <v>15331.255208333334</v>
      </c>
      <c r="R9" s="64">
        <f t="shared" si="6"/>
        <v>6624.0854166666668</v>
      </c>
      <c r="S9" s="72"/>
      <c r="T9" s="72"/>
      <c r="U9" s="73"/>
      <c r="V9" s="73"/>
      <c r="W9" s="74"/>
      <c r="X9" s="6"/>
      <c r="Y9" s="6"/>
      <c r="Z9" s="66"/>
      <c r="AA9" s="6"/>
      <c r="AB9" s="77">
        <v>0.5</v>
      </c>
      <c r="AC9" s="71">
        <f>G9*AB9/18*1</f>
        <v>491.58333333333331</v>
      </c>
      <c r="AD9" s="6"/>
      <c r="AE9" s="6"/>
      <c r="AF9" s="6"/>
      <c r="AG9" s="6"/>
      <c r="AH9" s="6"/>
      <c r="AI9" s="6"/>
      <c r="AJ9" s="66"/>
      <c r="AK9" s="48"/>
      <c r="AL9" s="84"/>
      <c r="AM9" s="81"/>
      <c r="AN9" s="48"/>
      <c r="AO9" s="81"/>
      <c r="AP9" s="66"/>
      <c r="AQ9" s="6"/>
      <c r="AR9" s="6"/>
      <c r="AS9" s="80">
        <v>0.3</v>
      </c>
      <c r="AT9" s="33">
        <v>2</v>
      </c>
      <c r="AU9" s="71">
        <f t="shared" si="7"/>
        <v>4599.3765625000005</v>
      </c>
      <c r="AV9" s="80">
        <v>0.1</v>
      </c>
      <c r="AW9" s="71">
        <f t="shared" si="8"/>
        <v>1533.1255208333334</v>
      </c>
      <c r="AX9" s="64">
        <f t="shared" si="9"/>
        <v>21955.340625000001</v>
      </c>
      <c r="AY9" s="71">
        <f t="shared" si="10"/>
        <v>15331.255208333334</v>
      </c>
      <c r="AZ9" s="64">
        <f t="shared" si="11"/>
        <v>263464.08750000002</v>
      </c>
      <c r="BA9" s="154"/>
      <c r="BB9" s="154"/>
    </row>
    <row r="10" spans="1:57">
      <c r="A10" s="5">
        <v>4</v>
      </c>
      <c r="B10" s="18" t="s">
        <v>57</v>
      </c>
      <c r="C10" s="27" t="s">
        <v>114</v>
      </c>
      <c r="D10" s="36" t="s">
        <v>191</v>
      </c>
      <c r="E10" s="41" t="s">
        <v>208</v>
      </c>
      <c r="F10" s="33" t="s">
        <v>249</v>
      </c>
      <c r="G10" s="72">
        <v>17697</v>
      </c>
      <c r="H10" s="33">
        <v>2</v>
      </c>
      <c r="I10" s="50"/>
      <c r="J10" s="33"/>
      <c r="K10" s="56">
        <v>4.74</v>
      </c>
      <c r="L10" s="56"/>
      <c r="M10" s="65">
        <f t="shared" si="1"/>
        <v>9320.42</v>
      </c>
      <c r="N10" s="65">
        <f>G10*K10/24*I10</f>
        <v>0</v>
      </c>
      <c r="O10" s="65">
        <f t="shared" si="3"/>
        <v>11650.525</v>
      </c>
      <c r="P10" s="65">
        <f t="shared" si="4"/>
        <v>2912.6312499999999</v>
      </c>
      <c r="Q10" s="65">
        <f t="shared" si="5"/>
        <v>14563.15625</v>
      </c>
      <c r="R10" s="64">
        <f t="shared" si="6"/>
        <v>6316.8458333333328</v>
      </c>
      <c r="S10" s="72"/>
      <c r="T10" s="72"/>
      <c r="U10" s="73"/>
      <c r="V10" s="73"/>
      <c r="W10" s="74"/>
      <c r="X10" s="6"/>
      <c r="Y10" s="6"/>
      <c r="Z10" s="66"/>
      <c r="AA10" s="6"/>
      <c r="AB10" s="77">
        <v>0.5</v>
      </c>
      <c r="AC10" s="71">
        <f>G10*AB10/18*1</f>
        <v>491.58333333333331</v>
      </c>
      <c r="AD10" s="6"/>
      <c r="AE10" s="6"/>
      <c r="AF10" s="6"/>
      <c r="AG10" s="6"/>
      <c r="AH10" s="6"/>
      <c r="AI10" s="6"/>
      <c r="AJ10" s="70"/>
      <c r="AK10" s="48"/>
      <c r="AL10" s="84"/>
      <c r="AM10" s="77"/>
      <c r="AN10" s="48"/>
      <c r="AO10" s="77"/>
      <c r="AP10" s="70"/>
      <c r="AQ10" s="6"/>
      <c r="AR10" s="6"/>
      <c r="AS10" s="80">
        <v>0.3</v>
      </c>
      <c r="AT10" s="33">
        <v>2</v>
      </c>
      <c r="AU10" s="71">
        <f t="shared" si="7"/>
        <v>4368.9468749999996</v>
      </c>
      <c r="AV10" s="80">
        <v>0.1</v>
      </c>
      <c r="AW10" s="71">
        <f t="shared" si="8"/>
        <v>1456.3156250000002</v>
      </c>
      <c r="AX10" s="64">
        <f t="shared" si="9"/>
        <v>20880.002083333333</v>
      </c>
      <c r="AY10" s="71">
        <f t="shared" si="10"/>
        <v>14563.15625</v>
      </c>
      <c r="AZ10" s="64">
        <f t="shared" si="11"/>
        <v>250560.02499999999</v>
      </c>
      <c r="BA10" s="154"/>
      <c r="BB10" s="154"/>
    </row>
    <row r="11" spans="1:57" ht="15.75" customHeight="1">
      <c r="A11" s="5">
        <v>5</v>
      </c>
      <c r="B11" s="18" t="s">
        <v>58</v>
      </c>
      <c r="C11" s="27" t="s">
        <v>115</v>
      </c>
      <c r="D11" s="37" t="s">
        <v>191</v>
      </c>
      <c r="E11" s="41" t="s">
        <v>209</v>
      </c>
      <c r="F11" s="33" t="s">
        <v>248</v>
      </c>
      <c r="G11" s="72">
        <v>17697</v>
      </c>
      <c r="H11" s="33">
        <v>2</v>
      </c>
      <c r="I11" s="51"/>
      <c r="J11" s="33"/>
      <c r="K11" s="56">
        <v>5.24</v>
      </c>
      <c r="L11" s="56"/>
      <c r="M11" s="65">
        <f t="shared" si="1"/>
        <v>10303.586666666666</v>
      </c>
      <c r="N11" s="65">
        <f t="shared" si="2"/>
        <v>0</v>
      </c>
      <c r="O11" s="65">
        <f t="shared" si="3"/>
        <v>12879.483333333334</v>
      </c>
      <c r="P11" s="65">
        <f t="shared" si="4"/>
        <v>3219.8708333333334</v>
      </c>
      <c r="Q11" s="65">
        <f t="shared" si="5"/>
        <v>16099.354166666668</v>
      </c>
      <c r="R11" s="64">
        <f t="shared" si="6"/>
        <v>6833.0083333333332</v>
      </c>
      <c r="S11" s="72"/>
      <c r="T11" s="72"/>
      <c r="U11" s="73"/>
      <c r="V11" s="73"/>
      <c r="W11" s="74"/>
      <c r="X11" s="10"/>
      <c r="Y11" s="10"/>
      <c r="Z11" s="66"/>
      <c r="AA11" s="71"/>
      <c r="AB11" s="77">
        <v>0.4</v>
      </c>
      <c r="AC11" s="64">
        <f>G11*AB11/18*1</f>
        <v>393.26666666666665</v>
      </c>
      <c r="AD11" s="10"/>
      <c r="AE11" s="10"/>
      <c r="AF11" s="10"/>
      <c r="AG11" s="10"/>
      <c r="AH11" s="10"/>
      <c r="AI11" s="10"/>
      <c r="AJ11" s="66"/>
      <c r="AK11" s="48"/>
      <c r="AL11" s="79"/>
      <c r="AM11" s="81"/>
      <c r="AN11" s="48"/>
      <c r="AO11" s="81"/>
      <c r="AP11" s="66"/>
      <c r="AQ11" s="10"/>
      <c r="AR11" s="10"/>
      <c r="AS11" s="80">
        <v>0.3</v>
      </c>
      <c r="AT11" s="33">
        <v>2</v>
      </c>
      <c r="AU11" s="71">
        <f t="shared" si="7"/>
        <v>4829.8062499999996</v>
      </c>
      <c r="AV11" s="80">
        <v>0.1</v>
      </c>
      <c r="AW11" s="71">
        <f t="shared" si="8"/>
        <v>1609.9354166666669</v>
      </c>
      <c r="AX11" s="64">
        <f t="shared" si="9"/>
        <v>22932.362500000003</v>
      </c>
      <c r="AY11" s="71">
        <f t="shared" si="10"/>
        <v>16099.354166666668</v>
      </c>
      <c r="AZ11" s="64">
        <f t="shared" si="11"/>
        <v>275188.35000000003</v>
      </c>
      <c r="BA11" s="154"/>
      <c r="BB11" s="154"/>
    </row>
    <row r="12" spans="1:57" ht="15.75" customHeight="1">
      <c r="A12" s="5">
        <v>6</v>
      </c>
      <c r="B12" s="18" t="s">
        <v>61</v>
      </c>
      <c r="C12" s="27" t="s">
        <v>115</v>
      </c>
      <c r="D12" s="37" t="s">
        <v>191</v>
      </c>
      <c r="E12" s="41" t="s">
        <v>212</v>
      </c>
      <c r="F12" s="33" t="s">
        <v>250</v>
      </c>
      <c r="G12" s="72">
        <v>17697</v>
      </c>
      <c r="H12" s="33">
        <v>4</v>
      </c>
      <c r="I12" s="51"/>
      <c r="J12" s="33"/>
      <c r="K12" s="56">
        <v>4.33</v>
      </c>
      <c r="L12" s="56"/>
      <c r="M12" s="65">
        <f t="shared" si="1"/>
        <v>17028.446666666667</v>
      </c>
      <c r="N12" s="65">
        <f t="shared" si="2"/>
        <v>0</v>
      </c>
      <c r="O12" s="65">
        <f t="shared" si="3"/>
        <v>21285.558333333334</v>
      </c>
      <c r="P12" s="65">
        <f t="shared" si="4"/>
        <v>5321.3895833333336</v>
      </c>
      <c r="Q12" s="65">
        <f t="shared" si="5"/>
        <v>26606.947916666668</v>
      </c>
      <c r="R12" s="64">
        <f t="shared" si="6"/>
        <v>11429.3125</v>
      </c>
      <c r="S12" s="72"/>
      <c r="T12" s="72"/>
      <c r="U12" s="73"/>
      <c r="V12" s="73"/>
      <c r="W12" s="74"/>
      <c r="X12" s="10"/>
      <c r="Y12" s="10"/>
      <c r="Z12" s="66"/>
      <c r="AA12" s="10"/>
      <c r="AB12" s="77">
        <v>0.4</v>
      </c>
      <c r="AC12" s="64">
        <f>G12*AB12/18*2</f>
        <v>786.5333333333333</v>
      </c>
      <c r="AD12" s="10"/>
      <c r="AE12" s="10"/>
      <c r="AF12" s="10"/>
      <c r="AG12" s="10"/>
      <c r="AH12" s="10"/>
      <c r="AI12" s="10"/>
      <c r="AJ12" s="82"/>
      <c r="AK12" s="48"/>
      <c r="AL12" s="79"/>
      <c r="AM12" s="77"/>
      <c r="AN12" s="48"/>
      <c r="AO12" s="77"/>
      <c r="AP12" s="82"/>
      <c r="AQ12" s="10"/>
      <c r="AR12" s="10"/>
      <c r="AS12" s="80">
        <v>0.3</v>
      </c>
      <c r="AT12" s="33">
        <v>4</v>
      </c>
      <c r="AU12" s="71">
        <f t="shared" si="7"/>
        <v>7982.0843750000004</v>
      </c>
      <c r="AV12" s="80">
        <v>0.1</v>
      </c>
      <c r="AW12" s="71">
        <f t="shared" si="8"/>
        <v>2660.6947916666668</v>
      </c>
      <c r="AX12" s="64">
        <f t="shared" si="9"/>
        <v>38036.260416666672</v>
      </c>
      <c r="AY12" s="71">
        <f t="shared" si="10"/>
        <v>26606.947916666668</v>
      </c>
      <c r="AZ12" s="64">
        <f t="shared" si="11"/>
        <v>456435.12500000006</v>
      </c>
      <c r="BA12" s="154"/>
      <c r="BB12" s="154"/>
    </row>
    <row r="13" spans="1:57" ht="15.75" customHeight="1">
      <c r="A13" s="5">
        <v>7</v>
      </c>
      <c r="B13" s="18" t="s">
        <v>63</v>
      </c>
      <c r="C13" s="28" t="s">
        <v>331</v>
      </c>
      <c r="D13" s="37" t="s">
        <v>191</v>
      </c>
      <c r="E13" s="44" t="s">
        <v>214</v>
      </c>
      <c r="F13" s="33" t="s">
        <v>249</v>
      </c>
      <c r="G13" s="72">
        <v>17697</v>
      </c>
      <c r="H13" s="33">
        <v>2</v>
      </c>
      <c r="I13" s="51"/>
      <c r="J13" s="33"/>
      <c r="K13" s="56">
        <v>4.8099999999999996</v>
      </c>
      <c r="L13" s="56"/>
      <c r="M13" s="65">
        <f t="shared" si="1"/>
        <v>9458.0633333333317</v>
      </c>
      <c r="N13" s="65">
        <f t="shared" si="2"/>
        <v>0</v>
      </c>
      <c r="O13" s="65">
        <f t="shared" si="3"/>
        <v>11822.579166666665</v>
      </c>
      <c r="P13" s="65">
        <f t="shared" si="4"/>
        <v>2955.6447916666662</v>
      </c>
      <c r="Q13" s="65">
        <f t="shared" si="5"/>
        <v>14778.22395833333</v>
      </c>
      <c r="R13" s="64">
        <f t="shared" si="6"/>
        <v>5911.2895833333323</v>
      </c>
      <c r="S13" s="72"/>
      <c r="T13" s="72"/>
      <c r="U13" s="73"/>
      <c r="V13" s="73"/>
      <c r="W13" s="74"/>
      <c r="X13" s="10"/>
      <c r="Y13" s="10"/>
      <c r="Z13" s="66"/>
      <c r="AA13" s="10"/>
      <c r="AB13" s="77"/>
      <c r="AC13" s="69"/>
      <c r="AD13" s="10"/>
      <c r="AE13" s="10"/>
      <c r="AF13" s="10"/>
      <c r="AG13" s="10"/>
      <c r="AH13" s="10"/>
      <c r="AI13" s="10"/>
      <c r="AJ13" s="82"/>
      <c r="AK13" s="48"/>
      <c r="AL13" s="79"/>
      <c r="AM13" s="77"/>
      <c r="AN13" s="48"/>
      <c r="AO13" s="77"/>
      <c r="AP13" s="82"/>
      <c r="AQ13" s="10"/>
      <c r="AR13" s="10"/>
      <c r="AS13" s="80">
        <v>0.3</v>
      </c>
      <c r="AT13" s="33">
        <v>2</v>
      </c>
      <c r="AU13" s="71">
        <f t="shared" si="7"/>
        <v>4433.4671874999995</v>
      </c>
      <c r="AV13" s="80">
        <v>0.1</v>
      </c>
      <c r="AW13" s="71">
        <f t="shared" si="8"/>
        <v>1477.8223958333331</v>
      </c>
      <c r="AX13" s="64">
        <f t="shared" si="9"/>
        <v>20689.513541666664</v>
      </c>
      <c r="AY13" s="71">
        <f t="shared" si="10"/>
        <v>14778.22395833333</v>
      </c>
      <c r="AZ13" s="64">
        <f t="shared" si="11"/>
        <v>248274.16249999998</v>
      </c>
      <c r="BA13" s="154"/>
      <c r="BB13" s="154"/>
    </row>
    <row r="14" spans="1:57" ht="15.75" customHeight="1">
      <c r="A14" s="5">
        <v>8</v>
      </c>
      <c r="B14" s="18" t="s">
        <v>73</v>
      </c>
      <c r="C14" s="27" t="s">
        <v>119</v>
      </c>
      <c r="D14" s="36" t="s">
        <v>191</v>
      </c>
      <c r="E14" s="151" t="s">
        <v>196</v>
      </c>
      <c r="F14" s="149" t="s">
        <v>249</v>
      </c>
      <c r="G14" s="76">
        <v>17697</v>
      </c>
      <c r="H14" s="49">
        <v>1</v>
      </c>
      <c r="I14" s="51"/>
      <c r="J14" s="52"/>
      <c r="K14" s="56">
        <v>5.16</v>
      </c>
      <c r="L14" s="56"/>
      <c r="M14" s="65">
        <f t="shared" si="1"/>
        <v>5073.1400000000003</v>
      </c>
      <c r="N14" s="65">
        <f t="shared" si="2"/>
        <v>0</v>
      </c>
      <c r="O14" s="65">
        <f t="shared" si="3"/>
        <v>6341.4250000000002</v>
      </c>
      <c r="P14" s="65">
        <f t="shared" si="4"/>
        <v>1585.35625</v>
      </c>
      <c r="Q14" s="65">
        <f t="shared" si="5"/>
        <v>7926.78125</v>
      </c>
      <c r="R14" s="64">
        <f t="shared" si="6"/>
        <v>3170.7125000000001</v>
      </c>
      <c r="S14" s="72"/>
      <c r="T14" s="72"/>
      <c r="U14" s="73"/>
      <c r="V14" s="73"/>
      <c r="W14" s="74"/>
      <c r="X14" s="10"/>
      <c r="Y14" s="10"/>
      <c r="Z14" s="66"/>
      <c r="AA14" s="71"/>
      <c r="AB14" s="77"/>
      <c r="AC14" s="69"/>
      <c r="AD14" s="10"/>
      <c r="AE14" s="10"/>
      <c r="AF14" s="10"/>
      <c r="AG14" s="10"/>
      <c r="AH14" s="10"/>
      <c r="AI14" s="10"/>
      <c r="AJ14" s="66"/>
      <c r="AK14" s="48"/>
      <c r="AL14" s="79"/>
      <c r="AM14" s="81"/>
      <c r="AN14" s="48"/>
      <c r="AO14" s="81"/>
      <c r="AP14" s="66"/>
      <c r="AQ14" s="10"/>
      <c r="AR14" s="10"/>
      <c r="AS14" s="80">
        <v>0.3</v>
      </c>
      <c r="AT14" s="49">
        <v>1</v>
      </c>
      <c r="AU14" s="71">
        <f t="shared" si="7"/>
        <v>2378.0343750000002</v>
      </c>
      <c r="AV14" s="80">
        <v>0.1</v>
      </c>
      <c r="AW14" s="71">
        <f t="shared" si="8"/>
        <v>792.67812500000002</v>
      </c>
      <c r="AX14" s="64">
        <f t="shared" si="9"/>
        <v>11097.49375</v>
      </c>
      <c r="AY14" s="71">
        <f t="shared" si="10"/>
        <v>7926.78125</v>
      </c>
      <c r="AZ14" s="64">
        <f t="shared" si="11"/>
        <v>133169.92499999999</v>
      </c>
      <c r="BA14" s="154"/>
      <c r="BB14" s="154"/>
    </row>
    <row r="15" spans="1:57" ht="15.75" customHeight="1">
      <c r="A15" s="5">
        <v>9</v>
      </c>
      <c r="B15" s="19" t="s">
        <v>87</v>
      </c>
      <c r="C15" s="22" t="s">
        <v>124</v>
      </c>
      <c r="D15" s="37" t="s">
        <v>191</v>
      </c>
      <c r="E15" s="150" t="s">
        <v>229</v>
      </c>
      <c r="F15" s="33" t="s">
        <v>250</v>
      </c>
      <c r="G15" s="72">
        <v>17697</v>
      </c>
      <c r="H15" s="49">
        <v>3</v>
      </c>
      <c r="I15" s="51"/>
      <c r="J15" s="49"/>
      <c r="K15" s="57">
        <v>4.2300000000000004</v>
      </c>
      <c r="L15" s="57"/>
      <c r="M15" s="65">
        <f t="shared" si="1"/>
        <v>12476.385000000002</v>
      </c>
      <c r="N15" s="65">
        <f t="shared" si="2"/>
        <v>0</v>
      </c>
      <c r="O15" s="65">
        <f t="shared" si="3"/>
        <v>15595.481250000003</v>
      </c>
      <c r="P15" s="65">
        <f t="shared" si="4"/>
        <v>3898.8703125000006</v>
      </c>
      <c r="Q15" s="65">
        <f t="shared" si="5"/>
        <v>19494.351562500004</v>
      </c>
      <c r="R15" s="64">
        <f t="shared" si="6"/>
        <v>7797.7406250000013</v>
      </c>
      <c r="S15" s="72"/>
      <c r="T15" s="72"/>
      <c r="U15" s="73"/>
      <c r="V15" s="73"/>
      <c r="W15" s="74"/>
      <c r="X15" s="10"/>
      <c r="Y15" s="10"/>
      <c r="Z15" s="67"/>
      <c r="AA15" s="10"/>
      <c r="AB15" s="77"/>
      <c r="AC15" s="69"/>
      <c r="AD15" s="10"/>
      <c r="AE15" s="10"/>
      <c r="AF15" s="10"/>
      <c r="AG15" s="10"/>
      <c r="AH15" s="10"/>
      <c r="AI15" s="69"/>
      <c r="AJ15" s="66"/>
      <c r="AK15" s="48"/>
      <c r="AL15" s="79"/>
      <c r="AM15" s="81"/>
      <c r="AN15" s="48"/>
      <c r="AO15" s="81"/>
      <c r="AP15" s="66"/>
      <c r="AQ15" s="10"/>
      <c r="AR15" s="10"/>
      <c r="AS15" s="80">
        <v>0.3</v>
      </c>
      <c r="AT15" s="49">
        <v>3</v>
      </c>
      <c r="AU15" s="71">
        <f t="shared" ref="AU15:AU17" si="12">((G15*K15/18*AT15*1.25)*AS15+(((G15*K15/18*AT15*1.25)*AS15)*25%))</f>
        <v>5848.3054687500007</v>
      </c>
      <c r="AV15" s="80">
        <v>0.1</v>
      </c>
      <c r="AW15" s="71">
        <f t="shared" si="8"/>
        <v>1949.4351562500005</v>
      </c>
      <c r="AX15" s="64">
        <f t="shared" si="9"/>
        <v>27292.092187500006</v>
      </c>
      <c r="AY15" s="71">
        <f t="shared" si="10"/>
        <v>19494.351562500004</v>
      </c>
      <c r="AZ15" s="64">
        <f t="shared" si="11"/>
        <v>327505.10625000007</v>
      </c>
      <c r="BA15" s="154"/>
      <c r="BB15" s="154"/>
    </row>
    <row r="16" spans="1:57" ht="15.75" customHeight="1">
      <c r="A16" s="5">
        <v>10</v>
      </c>
      <c r="B16" s="19" t="s">
        <v>91</v>
      </c>
      <c r="C16" s="22" t="s">
        <v>126</v>
      </c>
      <c r="D16" s="36" t="s">
        <v>191</v>
      </c>
      <c r="E16" s="43" t="s">
        <v>231</v>
      </c>
      <c r="F16" s="33" t="s">
        <v>247</v>
      </c>
      <c r="G16" s="72">
        <v>17697</v>
      </c>
      <c r="H16" s="49">
        <v>1</v>
      </c>
      <c r="I16" s="51"/>
      <c r="J16" s="49"/>
      <c r="K16" s="57">
        <v>5.2</v>
      </c>
      <c r="L16" s="57"/>
      <c r="M16" s="65">
        <f t="shared" si="1"/>
        <v>5112.4666666666672</v>
      </c>
      <c r="N16" s="65">
        <f>G16*K16/24*I16</f>
        <v>0</v>
      </c>
      <c r="O16" s="65">
        <f t="shared" si="3"/>
        <v>6390.5833333333339</v>
      </c>
      <c r="P16" s="65">
        <f t="shared" si="4"/>
        <v>1597.6458333333335</v>
      </c>
      <c r="Q16" s="65">
        <f t="shared" si="5"/>
        <v>7988.2291666666679</v>
      </c>
      <c r="R16" s="64">
        <f t="shared" si="6"/>
        <v>3195.291666666667</v>
      </c>
      <c r="S16" s="72"/>
      <c r="T16" s="72"/>
      <c r="U16" s="73"/>
      <c r="V16" s="73"/>
      <c r="W16" s="74"/>
      <c r="X16" s="10"/>
      <c r="Y16" s="10"/>
      <c r="Z16" s="66"/>
      <c r="AA16" s="10"/>
      <c r="AB16" s="77"/>
      <c r="AC16" s="69"/>
      <c r="AD16" s="10"/>
      <c r="AE16" s="10"/>
      <c r="AF16" s="10"/>
      <c r="AG16" s="10"/>
      <c r="AH16" s="10"/>
      <c r="AI16" s="10"/>
      <c r="AJ16" s="66"/>
      <c r="AK16" s="48"/>
      <c r="AL16" s="79"/>
      <c r="AM16" s="81"/>
      <c r="AN16" s="48"/>
      <c r="AO16" s="81"/>
      <c r="AP16" s="66"/>
      <c r="AQ16" s="10"/>
      <c r="AR16" s="10"/>
      <c r="AS16" s="80">
        <v>0.3</v>
      </c>
      <c r="AT16" s="49">
        <v>1</v>
      </c>
      <c r="AU16" s="71">
        <f t="shared" si="12"/>
        <v>2396.46875</v>
      </c>
      <c r="AV16" s="80">
        <v>0.1</v>
      </c>
      <c r="AW16" s="71">
        <f t="shared" si="8"/>
        <v>798.82291666666686</v>
      </c>
      <c r="AX16" s="64">
        <f t="shared" si="9"/>
        <v>11183.520833333336</v>
      </c>
      <c r="AY16" s="71">
        <f t="shared" si="10"/>
        <v>7988.2291666666679</v>
      </c>
      <c r="AZ16" s="64">
        <f t="shared" si="11"/>
        <v>134202.25000000003</v>
      </c>
      <c r="BA16" s="154"/>
      <c r="BB16" s="154"/>
    </row>
    <row r="17" spans="1:57" ht="15.75" customHeight="1">
      <c r="A17" s="5">
        <v>11</v>
      </c>
      <c r="B17" s="18" t="s">
        <v>102</v>
      </c>
      <c r="C17" s="22" t="s">
        <v>127</v>
      </c>
      <c r="D17" s="39" t="s">
        <v>192</v>
      </c>
      <c r="E17" s="43" t="s">
        <v>230</v>
      </c>
      <c r="F17" s="33" t="s">
        <v>256</v>
      </c>
      <c r="G17" s="72">
        <v>17697</v>
      </c>
      <c r="H17" s="49">
        <v>15</v>
      </c>
      <c r="I17" s="40"/>
      <c r="J17" s="49"/>
      <c r="K17" s="57">
        <v>3.36</v>
      </c>
      <c r="L17" s="57"/>
      <c r="M17" s="65">
        <f t="shared" si="1"/>
        <v>49551.6</v>
      </c>
      <c r="N17" s="65">
        <f t="shared" si="2"/>
        <v>0</v>
      </c>
      <c r="O17" s="65">
        <f t="shared" si="3"/>
        <v>61939.5</v>
      </c>
      <c r="P17" s="65">
        <f t="shared" si="4"/>
        <v>15484.875</v>
      </c>
      <c r="Q17" s="65">
        <f t="shared" si="5"/>
        <v>77424.375</v>
      </c>
      <c r="R17" s="64">
        <f t="shared" si="6"/>
        <v>37360.333333333328</v>
      </c>
      <c r="S17" s="72"/>
      <c r="T17" s="72"/>
      <c r="U17" s="73"/>
      <c r="V17" s="73">
        <v>0.5</v>
      </c>
      <c r="W17" s="76">
        <f>G17*V17/2</f>
        <v>4424.25</v>
      </c>
      <c r="X17" s="10"/>
      <c r="Y17" s="10"/>
      <c r="Z17" s="66"/>
      <c r="AA17" s="10"/>
      <c r="AB17" s="77">
        <v>0.4</v>
      </c>
      <c r="AC17" s="64">
        <f>G17*AB17/18*5</f>
        <v>1966.3333333333333</v>
      </c>
      <c r="AD17" s="10"/>
      <c r="AE17" s="10"/>
      <c r="AF17" s="10"/>
      <c r="AG17" s="10"/>
      <c r="AH17" s="10"/>
      <c r="AI17" s="10"/>
      <c r="AJ17" s="83"/>
      <c r="AK17" s="48"/>
      <c r="AL17" s="79"/>
      <c r="AM17" s="48"/>
      <c r="AN17" s="48"/>
      <c r="AO17" s="48"/>
      <c r="AP17" s="83"/>
      <c r="AQ17" s="10"/>
      <c r="AR17" s="10"/>
      <c r="AS17" s="80">
        <v>0.3</v>
      </c>
      <c r="AT17" s="49">
        <v>15</v>
      </c>
      <c r="AU17" s="71">
        <f t="shared" si="12"/>
        <v>23227.3125</v>
      </c>
      <c r="AV17" s="80">
        <v>0.1</v>
      </c>
      <c r="AW17" s="71">
        <f t="shared" si="8"/>
        <v>7742.4375</v>
      </c>
      <c r="AX17" s="64">
        <f t="shared" si="9"/>
        <v>114784.70833333333</v>
      </c>
      <c r="AY17" s="71">
        <f t="shared" si="10"/>
        <v>77424.375</v>
      </c>
      <c r="AZ17" s="64">
        <f t="shared" si="11"/>
        <v>1377416.5</v>
      </c>
      <c r="BA17" s="154"/>
      <c r="BB17" s="154"/>
    </row>
    <row r="18" spans="1:57" ht="15.75" customHeight="1">
      <c r="A18" s="147">
        <v>11</v>
      </c>
      <c r="B18" s="147" t="s">
        <v>42</v>
      </c>
      <c r="C18" s="147"/>
      <c r="D18" s="147"/>
      <c r="E18" s="147"/>
      <c r="F18" s="155" t="s">
        <v>43</v>
      </c>
      <c r="G18" s="76"/>
      <c r="H18" s="156">
        <f>SUM(H7:H17)</f>
        <v>36</v>
      </c>
      <c r="I18" s="157"/>
      <c r="J18" s="158"/>
      <c r="K18" s="157"/>
      <c r="L18" s="157"/>
      <c r="M18" s="159">
        <f t="shared" ref="M18:R18" si="13">SUM(M7:M17)</f>
        <v>147524.15833333335</v>
      </c>
      <c r="N18" s="159">
        <f t="shared" si="13"/>
        <v>0</v>
      </c>
      <c r="O18" s="159">
        <f t="shared" si="13"/>
        <v>184405.19791666666</v>
      </c>
      <c r="P18" s="159">
        <f t="shared" si="13"/>
        <v>46101.299479166664</v>
      </c>
      <c r="Q18" s="159">
        <f t="shared" si="13"/>
        <v>230506.49739583334</v>
      </c>
      <c r="R18" s="159">
        <f t="shared" si="13"/>
        <v>101247.73229166666</v>
      </c>
      <c r="S18" s="159">
        <f>SUM(S10:S17)</f>
        <v>0</v>
      </c>
      <c r="T18" s="159">
        <f>SUM(T10:T17)</f>
        <v>0</v>
      </c>
      <c r="U18" s="156" t="s">
        <v>43</v>
      </c>
      <c r="V18" s="156" t="s">
        <v>43</v>
      </c>
      <c r="W18" s="159">
        <f>SUM(W7:W17)</f>
        <v>4424.25</v>
      </c>
      <c r="X18" s="156" t="s">
        <v>43</v>
      </c>
      <c r="Y18" s="156">
        <f>SUM(Y7:Y17)</f>
        <v>0</v>
      </c>
      <c r="Z18" s="156" t="s">
        <v>43</v>
      </c>
      <c r="AA18" s="156">
        <f>SUM(AA7:AA17)</f>
        <v>0</v>
      </c>
      <c r="AB18" s="156" t="s">
        <v>43</v>
      </c>
      <c r="AC18" s="159">
        <f>SUM(AC7:AC17)</f>
        <v>4620.8833333333332</v>
      </c>
      <c r="AD18" s="156" t="s">
        <v>43</v>
      </c>
      <c r="AE18" s="159">
        <f>SUM(AE7:AE17)</f>
        <v>0</v>
      </c>
      <c r="AF18" s="156"/>
      <c r="AG18" s="156">
        <v>0</v>
      </c>
      <c r="AH18" s="156" t="s">
        <v>43</v>
      </c>
      <c r="AI18" s="156">
        <f>SUM(AI7:AI17)</f>
        <v>0</v>
      </c>
      <c r="AJ18" s="156" t="s">
        <v>43</v>
      </c>
      <c r="AK18" s="159">
        <f>SUM(AK7:AK17)</f>
        <v>0</v>
      </c>
      <c r="AL18" s="156"/>
      <c r="AM18" s="159">
        <f>SUM(AM7:AM17)</f>
        <v>0</v>
      </c>
      <c r="AN18" s="156"/>
      <c r="AO18" s="159">
        <f>SUM(AO7:AO17)</f>
        <v>0</v>
      </c>
      <c r="AP18" s="156"/>
      <c r="AQ18" s="156"/>
      <c r="AR18" s="156"/>
      <c r="AS18" s="156" t="s">
        <v>43</v>
      </c>
      <c r="AT18" s="156">
        <f>SUM(AT7:AT17)</f>
        <v>36</v>
      </c>
      <c r="AU18" s="159">
        <f>SUM(AU7:AU17)</f>
        <v>69151.94921875</v>
      </c>
      <c r="AV18" s="156" t="s">
        <v>43</v>
      </c>
      <c r="AW18" s="159">
        <f t="shared" ref="AW18:BB18" si="14">SUM(AW7:AW17)</f>
        <v>23050.649739583336</v>
      </c>
      <c r="AX18" s="160">
        <f t="shared" si="14"/>
        <v>331754.22968750005</v>
      </c>
      <c r="AY18" s="160">
        <f t="shared" si="14"/>
        <v>230506.49739583334</v>
      </c>
      <c r="AZ18" s="161">
        <f t="shared" si="14"/>
        <v>3981050.7562500001</v>
      </c>
      <c r="BA18" s="162">
        <f>(AZ18-398105)*6%</f>
        <v>214976.745375</v>
      </c>
      <c r="BB18" s="162">
        <f>(AZ18-398105)*3.5%</f>
        <v>125403.10146875001</v>
      </c>
    </row>
    <row r="19" spans="1:57">
      <c r="B19" s="2"/>
      <c r="C19" s="2"/>
      <c r="D19" s="2"/>
      <c r="E19" s="2"/>
      <c r="F19" s="2"/>
      <c r="G19" s="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AZ19" s="14"/>
    </row>
    <row r="20" spans="1:57">
      <c r="B20" s="2"/>
      <c r="C20" s="2"/>
      <c r="D20" s="2"/>
      <c r="E20" s="2"/>
      <c r="F20" s="2"/>
      <c r="G20" s="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63" t="s">
        <v>327</v>
      </c>
      <c r="S20" s="163"/>
      <c r="T20" s="142"/>
      <c r="U20" s="163"/>
      <c r="V20" s="163"/>
      <c r="W20" s="164" t="s">
        <v>334</v>
      </c>
      <c r="X20" s="164"/>
      <c r="Y20" s="164"/>
      <c r="Z20" s="164"/>
      <c r="AA20" s="164"/>
      <c r="AB20" s="164"/>
      <c r="AC20" s="163"/>
      <c r="AD20" s="142"/>
      <c r="AE20" s="163"/>
      <c r="AF20" s="163"/>
      <c r="AG20" s="163"/>
      <c r="AH20" s="163"/>
      <c r="AI20" s="142"/>
      <c r="AJ20" s="163"/>
      <c r="AK20" s="163"/>
      <c r="AL20" s="165" t="s">
        <v>409</v>
      </c>
      <c r="AM20" s="165"/>
      <c r="AN20" s="165"/>
      <c r="AO20" s="165"/>
      <c r="AP20" s="165"/>
      <c r="AQ20" s="165"/>
      <c r="AR20" s="165"/>
      <c r="AS20" s="165"/>
      <c r="AT20" s="165"/>
      <c r="AU20" s="143"/>
      <c r="AV20" s="143"/>
      <c r="AW20" s="143"/>
      <c r="AX20" s="143"/>
      <c r="AY20" s="323"/>
      <c r="AZ20" s="324"/>
      <c r="BA20" s="143"/>
      <c r="BB20" s="143"/>
      <c r="BC20" s="143"/>
      <c r="BD20" s="143"/>
      <c r="BE20" s="143"/>
    </row>
    <row r="21" spans="1:57">
      <c r="B21" s="2"/>
      <c r="C21" s="2"/>
      <c r="D21" s="2"/>
      <c r="E21" s="2"/>
      <c r="F21" s="2"/>
      <c r="G21" s="2"/>
      <c r="R21" s="163"/>
      <c r="S21" s="137"/>
      <c r="T21" s="163"/>
      <c r="U21" s="163"/>
      <c r="V21" s="137"/>
      <c r="W21" s="163"/>
      <c r="X21" s="137"/>
      <c r="Y21" s="163"/>
      <c r="Z21" s="163"/>
      <c r="AA21" s="280" t="s">
        <v>332</v>
      </c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143"/>
      <c r="AM21" s="143"/>
      <c r="AN21" s="143"/>
      <c r="AO21" s="143"/>
      <c r="AP21" s="143"/>
      <c r="AQ21" s="143"/>
      <c r="AR21" s="143"/>
      <c r="AS21" s="143"/>
      <c r="AT21" s="143"/>
      <c r="AU21" s="279" t="s">
        <v>338</v>
      </c>
      <c r="AV21" s="279"/>
      <c r="AW21" s="279"/>
      <c r="AX21" s="279"/>
      <c r="AY21" s="279"/>
      <c r="AZ21" s="279"/>
      <c r="BA21" s="279"/>
      <c r="BB21" s="279"/>
      <c r="BC21" s="279"/>
      <c r="BD21" s="143"/>
      <c r="BE21" s="143"/>
    </row>
    <row r="22" spans="1:57">
      <c r="B22" s="2"/>
      <c r="C22" s="2"/>
      <c r="D22" s="2"/>
      <c r="E22" s="2"/>
      <c r="F22" s="2"/>
      <c r="G22" s="16"/>
      <c r="R22" s="280" t="s">
        <v>364</v>
      </c>
      <c r="S22" s="280"/>
      <c r="T22" s="280"/>
      <c r="U22" s="163" t="s">
        <v>329</v>
      </c>
      <c r="V22" s="137"/>
      <c r="W22" s="163"/>
      <c r="X22" s="163"/>
      <c r="Y22" s="142"/>
      <c r="Z22" s="163"/>
      <c r="AA22" s="279" t="s">
        <v>333</v>
      </c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165" t="s">
        <v>410</v>
      </c>
      <c r="AM22" s="165"/>
      <c r="AN22" s="165"/>
      <c r="AO22" s="165"/>
      <c r="AP22" s="165"/>
      <c r="AQ22" s="165"/>
      <c r="AR22" s="165"/>
      <c r="AS22" s="165"/>
      <c r="AT22" s="165"/>
      <c r="AU22" s="143"/>
      <c r="AV22" s="143"/>
      <c r="AW22" s="143"/>
      <c r="AX22" s="143"/>
      <c r="AY22" s="143"/>
      <c r="AZ22" s="143"/>
      <c r="BA22" s="324"/>
      <c r="BB22" s="143"/>
      <c r="BC22" s="143"/>
      <c r="BD22" s="143"/>
      <c r="BE22" s="143"/>
    </row>
    <row r="23" spans="1:57" ht="15.75"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63"/>
      <c r="AC23" s="13"/>
      <c r="AD23" s="13"/>
      <c r="AE23" s="13"/>
      <c r="AF23" s="138"/>
      <c r="AG23" s="163"/>
      <c r="AH23" s="13"/>
      <c r="AI23" s="13"/>
      <c r="AJ23" s="13"/>
      <c r="AK23" s="138"/>
      <c r="AL23" s="143"/>
      <c r="AM23" s="143"/>
      <c r="AN23" s="143"/>
      <c r="AO23" s="143"/>
      <c r="AP23" s="143"/>
      <c r="AQ23" s="143"/>
      <c r="AR23" s="143"/>
      <c r="AS23" s="143"/>
      <c r="AT23" s="143"/>
      <c r="AU23" s="165" t="s">
        <v>406</v>
      </c>
      <c r="AV23" s="165"/>
      <c r="AW23" s="165"/>
      <c r="AX23" s="165"/>
      <c r="AY23" s="165"/>
      <c r="AZ23" s="165"/>
      <c r="BA23" s="165"/>
      <c r="BB23" s="165"/>
      <c r="BC23" s="143"/>
      <c r="BD23" s="143"/>
      <c r="BE23" s="143"/>
    </row>
    <row r="24" spans="1:57"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3"/>
      <c r="AC24" s="13"/>
      <c r="AD24" s="13"/>
      <c r="AE24" s="163"/>
      <c r="AF24" s="138"/>
      <c r="AG24" s="163"/>
      <c r="AH24" s="13"/>
      <c r="AI24" s="13"/>
      <c r="AJ24" s="163"/>
      <c r="AK24" s="138"/>
      <c r="AL24" s="165" t="s">
        <v>337</v>
      </c>
      <c r="AM24" s="165"/>
      <c r="AN24" s="165"/>
      <c r="AO24" s="165"/>
      <c r="AP24" s="165"/>
      <c r="AQ24" s="165"/>
      <c r="AR24" s="165"/>
      <c r="AS24" s="165"/>
      <c r="AT24" s="165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</row>
    <row r="25" spans="1:57" ht="15.75"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322"/>
      <c r="BA25" s="152"/>
      <c r="BB25" s="152"/>
      <c r="BC25" s="152"/>
    </row>
    <row r="26" spans="1:57" ht="15.75"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</row>
    <row r="27" spans="1:57" ht="15.75">
      <c r="R27" s="17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</row>
    <row r="28" spans="1:57" ht="15.75"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</row>
  </sheetData>
  <mergeCells count="40">
    <mergeCell ref="AU21:BC21"/>
    <mergeCell ref="R22:T22"/>
    <mergeCell ref="AA21:AK21"/>
    <mergeCell ref="AA22:AK22"/>
    <mergeCell ref="F4:F5"/>
    <mergeCell ref="R4:R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4:A5"/>
    <mergeCell ref="B4:B5"/>
    <mergeCell ref="C4:C5"/>
    <mergeCell ref="D4:D5"/>
    <mergeCell ref="E4:E5"/>
    <mergeCell ref="Q4:Q5"/>
    <mergeCell ref="AV4:AW4"/>
    <mergeCell ref="S4:U4"/>
    <mergeCell ref="V4:W4"/>
    <mergeCell ref="X4:Y4"/>
    <mergeCell ref="Z4:AA4"/>
    <mergeCell ref="AB4:AC4"/>
    <mergeCell ref="AD4:AE4"/>
    <mergeCell ref="AH4:AI4"/>
    <mergeCell ref="AJ4:AM4"/>
    <mergeCell ref="AN4:AP4"/>
    <mergeCell ref="AQ4:AR4"/>
    <mergeCell ref="AS4:AU4"/>
    <mergeCell ref="AF4:AG4"/>
    <mergeCell ref="AX4:AX5"/>
    <mergeCell ref="AY4:AY5"/>
    <mergeCell ref="AZ4:AZ5"/>
    <mergeCell ref="BA4:BA5"/>
    <mergeCell ref="BB4:BB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5"/>
  <sheetViews>
    <sheetView topLeftCell="A7" workbookViewId="0">
      <selection activeCell="T9" sqref="T9"/>
    </sheetView>
  </sheetViews>
  <sheetFormatPr defaultRowHeight="15"/>
  <cols>
    <col min="1" max="1" width="3.42578125" customWidth="1"/>
    <col min="2" max="2" width="16.42578125" customWidth="1"/>
    <col min="3" max="3" width="18.42578125" customWidth="1"/>
    <col min="4" max="4" width="7.42578125" customWidth="1"/>
    <col min="5" max="5" width="16.28515625" customWidth="1"/>
    <col min="6" max="6" width="6.28515625" customWidth="1"/>
    <col min="7" max="7" width="5.85546875" customWidth="1"/>
    <col min="8" max="8" width="6" customWidth="1"/>
    <col min="9" max="9" width="4.42578125" customWidth="1"/>
    <col min="10" max="10" width="6.140625" customWidth="1"/>
    <col min="11" max="11" width="6.85546875" customWidth="1"/>
    <col min="12" max="12" width="8" customWidth="1"/>
    <col min="13" max="13" width="8.28515625" customWidth="1"/>
    <col min="14" max="14" width="8.140625" customWidth="1"/>
    <col min="15" max="15" width="7.140625" customWidth="1"/>
    <col min="16" max="16" width="7" customWidth="1"/>
    <col min="17" max="18" width="7.85546875" customWidth="1"/>
    <col min="19" max="19" width="8.85546875" customWidth="1"/>
  </cols>
  <sheetData>
    <row r="1" spans="1:19" ht="15.75">
      <c r="A1" s="291" t="s">
        <v>291</v>
      </c>
      <c r="B1" s="291"/>
      <c r="C1" s="104"/>
      <c r="D1" s="261"/>
      <c r="E1" s="104"/>
      <c r="F1" s="104"/>
      <c r="G1" s="168"/>
      <c r="H1" s="104"/>
      <c r="I1" s="104"/>
      <c r="J1" s="105"/>
      <c r="K1" s="105"/>
      <c r="L1" s="106"/>
      <c r="M1" s="107"/>
      <c r="N1" s="107"/>
      <c r="O1" s="107"/>
      <c r="P1" s="107"/>
      <c r="Q1" s="107"/>
      <c r="R1" s="104"/>
      <c r="S1" s="104"/>
    </row>
    <row r="2" spans="1:19" ht="15.75">
      <c r="A2" s="262"/>
      <c r="B2" s="262"/>
      <c r="C2" s="104"/>
      <c r="D2" s="261"/>
      <c r="E2" s="104"/>
      <c r="F2" s="104"/>
      <c r="G2" s="168"/>
      <c r="H2" s="104"/>
      <c r="I2" s="104"/>
      <c r="J2" s="105"/>
      <c r="K2" s="105"/>
      <c r="L2" s="106"/>
      <c r="M2" s="107"/>
      <c r="N2" s="107"/>
      <c r="O2" s="107"/>
      <c r="P2" s="107"/>
      <c r="Q2" s="107"/>
      <c r="R2" s="104"/>
      <c r="S2" s="104"/>
    </row>
    <row r="3" spans="1:19" ht="15.75">
      <c r="A3" s="208" t="s">
        <v>292</v>
      </c>
      <c r="B3" s="208"/>
      <c r="C3" s="208"/>
      <c r="D3" s="263"/>
      <c r="E3" s="263"/>
      <c r="F3" s="263"/>
      <c r="G3" s="263"/>
      <c r="H3" s="263"/>
      <c r="I3" s="263"/>
      <c r="J3" s="263"/>
      <c r="K3" s="263"/>
      <c r="L3" s="263"/>
      <c r="M3" s="107"/>
      <c r="N3" s="107"/>
      <c r="O3" s="107"/>
      <c r="P3" s="107"/>
      <c r="Q3" s="107"/>
      <c r="R3" s="104"/>
      <c r="S3" s="104"/>
    </row>
    <row r="4" spans="1:19" ht="15.75">
      <c r="A4" s="291" t="s">
        <v>293</v>
      </c>
      <c r="B4" s="291"/>
      <c r="C4" s="291"/>
      <c r="D4" s="300" t="s">
        <v>407</v>
      </c>
      <c r="E4" s="300"/>
      <c r="F4" s="264"/>
      <c r="G4" s="260"/>
      <c r="H4" s="260"/>
      <c r="I4" s="260"/>
      <c r="J4" s="260"/>
      <c r="K4" s="260"/>
      <c r="L4" s="260"/>
      <c r="M4" s="107"/>
      <c r="N4" s="107"/>
      <c r="O4" s="107"/>
      <c r="P4" s="107"/>
      <c r="Q4" s="107"/>
      <c r="R4" s="104"/>
      <c r="S4" s="104"/>
    </row>
    <row r="5" spans="1:19" ht="0.75" customHeight="1">
      <c r="A5" s="262"/>
      <c r="B5" s="262"/>
      <c r="C5" s="262"/>
      <c r="D5" s="260"/>
      <c r="E5" s="260"/>
      <c r="F5" s="260"/>
      <c r="G5" s="260"/>
      <c r="H5" s="260"/>
      <c r="I5" s="260"/>
      <c r="J5" s="260"/>
      <c r="K5" s="260"/>
      <c r="L5" s="260"/>
      <c r="M5" s="107"/>
      <c r="N5" s="107"/>
      <c r="O5" s="107"/>
      <c r="P5" s="107"/>
      <c r="Q5" s="107"/>
      <c r="R5" s="104"/>
      <c r="S5" s="104"/>
    </row>
    <row r="6" spans="1:19" ht="42" customHeight="1">
      <c r="A6" s="284" t="s">
        <v>294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</row>
    <row r="7" spans="1:19" ht="15.75">
      <c r="A7" s="292" t="s">
        <v>295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</row>
    <row r="8" spans="1:19" ht="15" customHeight="1">
      <c r="A8" s="293" t="s">
        <v>296</v>
      </c>
      <c r="B8" s="295" t="s">
        <v>297</v>
      </c>
      <c r="C8" s="297" t="s">
        <v>298</v>
      </c>
      <c r="D8" s="285" t="s">
        <v>299</v>
      </c>
      <c r="E8" s="285" t="s">
        <v>300</v>
      </c>
      <c r="F8" s="283" t="s">
        <v>370</v>
      </c>
      <c r="G8" s="285" t="s">
        <v>301</v>
      </c>
      <c r="H8" s="285" t="s">
        <v>6</v>
      </c>
      <c r="I8" s="286" t="s">
        <v>302</v>
      </c>
      <c r="J8" s="285" t="s">
        <v>303</v>
      </c>
      <c r="K8" s="298" t="s">
        <v>304</v>
      </c>
      <c r="L8" s="286" t="s">
        <v>12</v>
      </c>
      <c r="M8" s="286" t="s">
        <v>14</v>
      </c>
      <c r="N8" s="286" t="s">
        <v>15</v>
      </c>
      <c r="O8" s="288" t="s">
        <v>305</v>
      </c>
      <c r="P8" s="288" t="s">
        <v>306</v>
      </c>
      <c r="Q8" s="288" t="s">
        <v>307</v>
      </c>
      <c r="R8" s="286" t="s">
        <v>377</v>
      </c>
      <c r="S8" s="285" t="s">
        <v>30</v>
      </c>
    </row>
    <row r="9" spans="1:19" ht="101.25" customHeight="1">
      <c r="A9" s="294"/>
      <c r="B9" s="296"/>
      <c r="C9" s="297"/>
      <c r="D9" s="285"/>
      <c r="E9" s="285"/>
      <c r="F9" s="283"/>
      <c r="G9" s="285"/>
      <c r="H9" s="285"/>
      <c r="I9" s="287"/>
      <c r="J9" s="285"/>
      <c r="K9" s="299"/>
      <c r="L9" s="287"/>
      <c r="M9" s="287"/>
      <c r="N9" s="287"/>
      <c r="O9" s="289"/>
      <c r="P9" s="289"/>
      <c r="Q9" s="289"/>
      <c r="R9" s="287"/>
      <c r="S9" s="285"/>
    </row>
    <row r="10" spans="1:19">
      <c r="A10" s="113">
        <v>1</v>
      </c>
      <c r="B10" s="221">
        <v>2</v>
      </c>
      <c r="C10" s="222">
        <v>3</v>
      </c>
      <c r="D10" s="222">
        <v>4</v>
      </c>
      <c r="E10" s="222">
        <v>5</v>
      </c>
      <c r="F10" s="223">
        <v>6</v>
      </c>
      <c r="G10" s="222">
        <v>7</v>
      </c>
      <c r="H10" s="222">
        <v>8</v>
      </c>
      <c r="I10" s="224">
        <v>9</v>
      </c>
      <c r="J10" s="222">
        <v>10</v>
      </c>
      <c r="K10" s="222">
        <v>11</v>
      </c>
      <c r="L10" s="222">
        <v>12</v>
      </c>
      <c r="M10" s="222">
        <v>13</v>
      </c>
      <c r="N10" s="222">
        <v>14</v>
      </c>
      <c r="O10" s="222">
        <v>15</v>
      </c>
      <c r="P10" s="222">
        <v>16</v>
      </c>
      <c r="Q10" s="222">
        <v>17</v>
      </c>
      <c r="R10" s="222">
        <v>18</v>
      </c>
      <c r="S10" s="222">
        <v>19</v>
      </c>
    </row>
    <row r="11" spans="1:19" ht="16.5" customHeight="1">
      <c r="A11" s="108">
        <v>1</v>
      </c>
      <c r="B11" s="109" t="s">
        <v>53</v>
      </c>
      <c r="C11" s="110" t="s">
        <v>308</v>
      </c>
      <c r="D11" s="88" t="s">
        <v>191</v>
      </c>
      <c r="E11" s="110" t="s">
        <v>309</v>
      </c>
      <c r="F11" s="45" t="s">
        <v>204</v>
      </c>
      <c r="G11" s="167" t="s">
        <v>310</v>
      </c>
      <c r="H11" s="48">
        <v>17697</v>
      </c>
      <c r="I11" s="21">
        <v>21</v>
      </c>
      <c r="J11" s="111">
        <v>5.41</v>
      </c>
      <c r="K11" s="47">
        <v>1.25</v>
      </c>
      <c r="L11" s="48">
        <f>(J11*H11)/18*I11*K11</f>
        <v>139621.95625000002</v>
      </c>
      <c r="M11" s="48">
        <f t="shared" ref="M11:M48" si="0">(L11)*25%</f>
        <v>34905.489062500004</v>
      </c>
      <c r="N11" s="48">
        <f t="shared" ref="N11:N49" si="1">SUM(M11+L11)</f>
        <v>174527.44531250003</v>
      </c>
      <c r="O11" s="48">
        <f>N11*40%</f>
        <v>69810.978125000009</v>
      </c>
      <c r="P11" s="47"/>
      <c r="Q11" s="47"/>
      <c r="R11" s="48">
        <f t="shared" ref="R11:R49" si="2">O11+P11+Q11</f>
        <v>69810.978125000009</v>
      </c>
      <c r="S11" s="112">
        <f t="shared" ref="S11:S49" si="3">R11*12</f>
        <v>837731.73750000005</v>
      </c>
    </row>
    <row r="12" spans="1:19" ht="18" customHeight="1">
      <c r="A12" s="113">
        <v>2</v>
      </c>
      <c r="B12" s="109" t="s">
        <v>50</v>
      </c>
      <c r="C12" s="110" t="s">
        <v>311</v>
      </c>
      <c r="D12" s="99" t="s">
        <v>191</v>
      </c>
      <c r="E12" s="110" t="s">
        <v>309</v>
      </c>
      <c r="F12" s="115" t="s">
        <v>201</v>
      </c>
      <c r="G12" s="167" t="s">
        <v>310</v>
      </c>
      <c r="H12" s="48">
        <v>17697</v>
      </c>
      <c r="I12" s="114">
        <v>21</v>
      </c>
      <c r="J12" s="111">
        <v>5.41</v>
      </c>
      <c r="K12" s="47">
        <v>1.25</v>
      </c>
      <c r="L12" s="48">
        <f>(J12*H12)/18*I12*K12</f>
        <v>139621.95625000002</v>
      </c>
      <c r="M12" s="48">
        <f t="shared" si="0"/>
        <v>34905.489062500004</v>
      </c>
      <c r="N12" s="48">
        <f t="shared" si="1"/>
        <v>174527.44531250003</v>
      </c>
      <c r="O12" s="48">
        <f>N12*40%</f>
        <v>69810.978125000009</v>
      </c>
      <c r="P12" s="48"/>
      <c r="Q12" s="48"/>
      <c r="R12" s="48">
        <f t="shared" si="2"/>
        <v>69810.978125000009</v>
      </c>
      <c r="S12" s="112">
        <f t="shared" si="3"/>
        <v>837731.73750000005</v>
      </c>
    </row>
    <row r="13" spans="1:19" ht="18" customHeight="1">
      <c r="A13" s="113">
        <v>3</v>
      </c>
      <c r="B13" s="109" t="s">
        <v>51</v>
      </c>
      <c r="C13" s="110" t="s">
        <v>311</v>
      </c>
      <c r="D13" s="99" t="s">
        <v>191</v>
      </c>
      <c r="E13" s="110" t="s">
        <v>309</v>
      </c>
      <c r="F13" s="115" t="s">
        <v>202</v>
      </c>
      <c r="G13" s="47" t="s">
        <v>248</v>
      </c>
      <c r="H13" s="48">
        <v>17697</v>
      </c>
      <c r="I13" s="114">
        <v>21</v>
      </c>
      <c r="J13" s="111">
        <v>5.32</v>
      </c>
      <c r="K13" s="47">
        <v>1.25</v>
      </c>
      <c r="L13" s="48">
        <f t="shared" ref="L13:L48" si="4">(J13*H13)/18*I13*K13</f>
        <v>137299.22500000001</v>
      </c>
      <c r="M13" s="48">
        <f t="shared" si="0"/>
        <v>34324.806250000001</v>
      </c>
      <c r="N13" s="48">
        <f t="shared" si="1"/>
        <v>171624.03125</v>
      </c>
      <c r="O13" s="48">
        <f>N13*40%</f>
        <v>68649.612500000003</v>
      </c>
      <c r="P13" s="48"/>
      <c r="Q13" s="48"/>
      <c r="R13" s="48">
        <f t="shared" si="2"/>
        <v>68649.612500000003</v>
      </c>
      <c r="S13" s="112">
        <f t="shared" si="3"/>
        <v>823795.35000000009</v>
      </c>
    </row>
    <row r="14" spans="1:19" ht="17.25" customHeight="1">
      <c r="A14" s="113">
        <v>4</v>
      </c>
      <c r="B14" s="109" t="s">
        <v>79</v>
      </c>
      <c r="C14" s="110" t="s">
        <v>122</v>
      </c>
      <c r="D14" s="99" t="s">
        <v>191</v>
      </c>
      <c r="E14" s="110" t="s">
        <v>309</v>
      </c>
      <c r="F14" s="115" t="s">
        <v>217</v>
      </c>
      <c r="G14" s="47" t="s">
        <v>248</v>
      </c>
      <c r="H14" s="48">
        <v>17697</v>
      </c>
      <c r="I14" s="114">
        <v>20</v>
      </c>
      <c r="J14" s="111">
        <v>5.41</v>
      </c>
      <c r="K14" s="47">
        <v>1.25</v>
      </c>
      <c r="L14" s="48">
        <f t="shared" si="4"/>
        <v>132973.29166666669</v>
      </c>
      <c r="M14" s="48">
        <f t="shared" si="0"/>
        <v>33243.322916666672</v>
      </c>
      <c r="N14" s="48">
        <f t="shared" si="1"/>
        <v>166216.61458333337</v>
      </c>
      <c r="O14" s="48">
        <f>N14*40%</f>
        <v>66486.645833333358</v>
      </c>
      <c r="P14" s="48"/>
      <c r="Q14" s="48"/>
      <c r="R14" s="48">
        <f t="shared" si="2"/>
        <v>66486.645833333358</v>
      </c>
      <c r="S14" s="112">
        <f t="shared" si="3"/>
        <v>797839.75000000023</v>
      </c>
    </row>
    <row r="15" spans="1:19" ht="17.25" customHeight="1">
      <c r="A15" s="113">
        <v>5</v>
      </c>
      <c r="B15" s="109" t="s">
        <v>84</v>
      </c>
      <c r="C15" s="110" t="s">
        <v>312</v>
      </c>
      <c r="D15" s="99" t="s">
        <v>191</v>
      </c>
      <c r="E15" s="110" t="s">
        <v>309</v>
      </c>
      <c r="F15" s="115" t="s">
        <v>198</v>
      </c>
      <c r="G15" s="47" t="s">
        <v>248</v>
      </c>
      <c r="H15" s="48">
        <v>17697</v>
      </c>
      <c r="I15" s="88">
        <v>18</v>
      </c>
      <c r="J15" s="111">
        <v>5.32</v>
      </c>
      <c r="K15" s="47">
        <v>1.25</v>
      </c>
      <c r="L15" s="48">
        <f t="shared" si="4"/>
        <v>117685.05000000002</v>
      </c>
      <c r="M15" s="48">
        <f t="shared" si="0"/>
        <v>29421.262500000004</v>
      </c>
      <c r="N15" s="48">
        <f t="shared" si="1"/>
        <v>147106.31250000003</v>
      </c>
      <c r="O15" s="48">
        <f t="shared" ref="O15" si="5">N15*40%</f>
        <v>58842.525000000016</v>
      </c>
      <c r="P15" s="48"/>
      <c r="Q15" s="48"/>
      <c r="R15" s="48">
        <f t="shared" si="2"/>
        <v>58842.525000000016</v>
      </c>
      <c r="S15" s="112">
        <f t="shared" si="3"/>
        <v>706110.30000000016</v>
      </c>
    </row>
    <row r="16" spans="1:19" ht="19.5" customHeight="1">
      <c r="A16" s="113">
        <v>6</v>
      </c>
      <c r="B16" s="110" t="s">
        <v>46</v>
      </c>
      <c r="C16" s="110" t="s">
        <v>311</v>
      </c>
      <c r="D16" s="99" t="s">
        <v>191</v>
      </c>
      <c r="E16" s="110" t="s">
        <v>309</v>
      </c>
      <c r="F16" s="115" t="s">
        <v>198</v>
      </c>
      <c r="G16" s="47" t="s">
        <v>248</v>
      </c>
      <c r="H16" s="48">
        <v>17697</v>
      </c>
      <c r="I16" s="114">
        <v>9</v>
      </c>
      <c r="J16" s="111">
        <v>5.32</v>
      </c>
      <c r="K16" s="47">
        <v>1.25</v>
      </c>
      <c r="L16" s="48">
        <f t="shared" si="4"/>
        <v>58842.525000000009</v>
      </c>
      <c r="M16" s="48">
        <f t="shared" si="0"/>
        <v>14710.631250000002</v>
      </c>
      <c r="N16" s="48">
        <f t="shared" si="1"/>
        <v>73553.156250000015</v>
      </c>
      <c r="O16" s="48">
        <f>N16*40%</f>
        <v>29421.262500000008</v>
      </c>
      <c r="P16" s="48"/>
      <c r="Q16" s="48"/>
      <c r="R16" s="48">
        <f t="shared" si="2"/>
        <v>29421.262500000008</v>
      </c>
      <c r="S16" s="112">
        <f t="shared" si="3"/>
        <v>353055.15000000008</v>
      </c>
    </row>
    <row r="17" spans="1:19" ht="17.25" customHeight="1">
      <c r="A17" s="113">
        <v>7</v>
      </c>
      <c r="B17" s="109" t="s">
        <v>58</v>
      </c>
      <c r="C17" s="110" t="s">
        <v>313</v>
      </c>
      <c r="D17" s="99" t="s">
        <v>191</v>
      </c>
      <c r="E17" s="110" t="s">
        <v>309</v>
      </c>
      <c r="F17" s="115" t="s">
        <v>209</v>
      </c>
      <c r="G17" s="167" t="s">
        <v>248</v>
      </c>
      <c r="H17" s="48">
        <v>17697</v>
      </c>
      <c r="I17" s="114">
        <v>21</v>
      </c>
      <c r="J17" s="111">
        <v>5.24</v>
      </c>
      <c r="K17" s="47">
        <v>1.25</v>
      </c>
      <c r="L17" s="48">
        <f t="shared" si="4"/>
        <v>135234.57499999998</v>
      </c>
      <c r="M17" s="48">
        <f t="shared" si="0"/>
        <v>33808.643749999996</v>
      </c>
      <c r="N17" s="48">
        <f t="shared" si="1"/>
        <v>169043.21874999997</v>
      </c>
      <c r="O17" s="48">
        <f>N17*40%</f>
        <v>67617.287499999991</v>
      </c>
      <c r="P17" s="48"/>
      <c r="Q17" s="48"/>
      <c r="R17" s="48">
        <f t="shared" si="2"/>
        <v>67617.287499999991</v>
      </c>
      <c r="S17" s="112">
        <f t="shared" si="3"/>
        <v>811407.45</v>
      </c>
    </row>
    <row r="18" spans="1:19" ht="18.75" customHeight="1">
      <c r="A18" s="113">
        <v>8</v>
      </c>
      <c r="B18" s="117" t="s">
        <v>45</v>
      </c>
      <c r="C18" s="118" t="s">
        <v>379</v>
      </c>
      <c r="D18" s="99" t="s">
        <v>191</v>
      </c>
      <c r="E18" s="118" t="s">
        <v>314</v>
      </c>
      <c r="F18" s="115" t="s">
        <v>197</v>
      </c>
      <c r="G18" s="167" t="s">
        <v>315</v>
      </c>
      <c r="H18" s="48">
        <v>17697</v>
      </c>
      <c r="I18" s="114">
        <v>17</v>
      </c>
      <c r="J18" s="111">
        <v>5.2</v>
      </c>
      <c r="K18" s="47">
        <v>1.25</v>
      </c>
      <c r="L18" s="48">
        <f t="shared" si="4"/>
        <v>108639.91666666669</v>
      </c>
      <c r="M18" s="48">
        <f t="shared" si="0"/>
        <v>27159.979166666672</v>
      </c>
      <c r="N18" s="48">
        <f t="shared" si="1"/>
        <v>135799.89583333337</v>
      </c>
      <c r="O18" s="48"/>
      <c r="P18" s="48">
        <f t="shared" ref="P18:P32" si="6">N18*35%</f>
        <v>47529.963541666679</v>
      </c>
      <c r="Q18" s="48"/>
      <c r="R18" s="48">
        <f t="shared" si="2"/>
        <v>47529.963541666679</v>
      </c>
      <c r="S18" s="112">
        <f t="shared" si="3"/>
        <v>570359.56250000012</v>
      </c>
    </row>
    <row r="19" spans="1:19" ht="19.5" customHeight="1">
      <c r="A19" s="113">
        <v>9</v>
      </c>
      <c r="B19" s="109" t="s">
        <v>55</v>
      </c>
      <c r="C19" s="110" t="s">
        <v>308</v>
      </c>
      <c r="D19" s="99" t="s">
        <v>191</v>
      </c>
      <c r="E19" s="110" t="s">
        <v>314</v>
      </c>
      <c r="F19" s="115" t="s">
        <v>206</v>
      </c>
      <c r="G19" s="167" t="s">
        <v>315</v>
      </c>
      <c r="H19" s="48">
        <v>17697</v>
      </c>
      <c r="I19" s="114">
        <v>21</v>
      </c>
      <c r="J19" s="111">
        <v>5.2</v>
      </c>
      <c r="K19" s="47">
        <v>1.25</v>
      </c>
      <c r="L19" s="48">
        <f t="shared" si="4"/>
        <v>134202.25000000003</v>
      </c>
      <c r="M19" s="48">
        <f t="shared" si="0"/>
        <v>33550.562500000007</v>
      </c>
      <c r="N19" s="48">
        <f t="shared" si="1"/>
        <v>167752.81250000003</v>
      </c>
      <c r="O19" s="48"/>
      <c r="P19" s="48">
        <f t="shared" si="6"/>
        <v>58713.484375000007</v>
      </c>
      <c r="Q19" s="48"/>
      <c r="R19" s="48">
        <f t="shared" si="2"/>
        <v>58713.484375000007</v>
      </c>
      <c r="S19" s="112">
        <f t="shared" si="3"/>
        <v>704561.81250000012</v>
      </c>
    </row>
    <row r="20" spans="1:19" ht="19.5" customHeight="1">
      <c r="A20" s="113">
        <v>10</v>
      </c>
      <c r="B20" s="109" t="s">
        <v>69</v>
      </c>
      <c r="C20" s="110" t="s">
        <v>118</v>
      </c>
      <c r="D20" s="99" t="s">
        <v>191</v>
      </c>
      <c r="E20" s="110" t="s">
        <v>314</v>
      </c>
      <c r="F20" s="115" t="s">
        <v>205</v>
      </c>
      <c r="G20" s="167" t="s">
        <v>315</v>
      </c>
      <c r="H20" s="48">
        <v>17697</v>
      </c>
      <c r="I20" s="114">
        <v>19</v>
      </c>
      <c r="J20" s="111">
        <v>5.2</v>
      </c>
      <c r="K20" s="47">
        <v>1.25</v>
      </c>
      <c r="L20" s="48">
        <f t="shared" si="4"/>
        <v>121421.08333333334</v>
      </c>
      <c r="M20" s="48">
        <f t="shared" si="0"/>
        <v>30355.270833333336</v>
      </c>
      <c r="N20" s="48">
        <f t="shared" si="1"/>
        <v>151776.35416666669</v>
      </c>
      <c r="O20" s="48"/>
      <c r="P20" s="48">
        <f t="shared" si="6"/>
        <v>53121.723958333336</v>
      </c>
      <c r="Q20" s="48"/>
      <c r="R20" s="48">
        <f t="shared" si="2"/>
        <v>53121.723958333336</v>
      </c>
      <c r="S20" s="112">
        <f t="shared" si="3"/>
        <v>637460.6875</v>
      </c>
    </row>
    <row r="21" spans="1:19" ht="18.75" customHeight="1">
      <c r="A21" s="113">
        <v>11</v>
      </c>
      <c r="B21" s="109" t="s">
        <v>71</v>
      </c>
      <c r="C21" s="110" t="s">
        <v>118</v>
      </c>
      <c r="D21" s="99" t="s">
        <v>191</v>
      </c>
      <c r="E21" s="110" t="s">
        <v>314</v>
      </c>
      <c r="F21" s="115" t="s">
        <v>220</v>
      </c>
      <c r="G21" s="167" t="s">
        <v>247</v>
      </c>
      <c r="H21" s="48">
        <v>17697</v>
      </c>
      <c r="I21" s="114">
        <v>21</v>
      </c>
      <c r="J21" s="111">
        <v>5.12</v>
      </c>
      <c r="K21" s="47">
        <v>1.25</v>
      </c>
      <c r="L21" s="48">
        <f t="shared" si="4"/>
        <v>132137.60000000001</v>
      </c>
      <c r="M21" s="48">
        <f t="shared" si="0"/>
        <v>33034.400000000001</v>
      </c>
      <c r="N21" s="48">
        <f t="shared" si="1"/>
        <v>165172</v>
      </c>
      <c r="O21" s="48"/>
      <c r="P21" s="48">
        <f t="shared" si="6"/>
        <v>57810.2</v>
      </c>
      <c r="Q21" s="48"/>
      <c r="R21" s="48">
        <f t="shared" si="2"/>
        <v>57810.2</v>
      </c>
      <c r="S21" s="112">
        <f t="shared" si="3"/>
        <v>693722.39999999991</v>
      </c>
    </row>
    <row r="22" spans="1:19" ht="20.25" customHeight="1">
      <c r="A22" s="113">
        <v>12</v>
      </c>
      <c r="B22" s="109" t="s">
        <v>100</v>
      </c>
      <c r="C22" s="110" t="s">
        <v>127</v>
      </c>
      <c r="D22" s="99" t="s">
        <v>191</v>
      </c>
      <c r="E22" s="110" t="s">
        <v>314</v>
      </c>
      <c r="F22" s="115" t="s">
        <v>236</v>
      </c>
      <c r="G22" s="167" t="s">
        <v>247</v>
      </c>
      <c r="H22" s="48">
        <v>17697</v>
      </c>
      <c r="I22" s="114">
        <v>19</v>
      </c>
      <c r="J22" s="111">
        <v>5.2</v>
      </c>
      <c r="K22" s="47">
        <v>1.25</v>
      </c>
      <c r="L22" s="48">
        <f t="shared" si="4"/>
        <v>121421.08333333334</v>
      </c>
      <c r="M22" s="48">
        <f t="shared" si="0"/>
        <v>30355.270833333336</v>
      </c>
      <c r="N22" s="48">
        <f t="shared" si="1"/>
        <v>151776.35416666669</v>
      </c>
      <c r="O22" s="48"/>
      <c r="P22" s="48">
        <f t="shared" si="6"/>
        <v>53121.723958333336</v>
      </c>
      <c r="Q22" s="48"/>
      <c r="R22" s="48">
        <f t="shared" si="2"/>
        <v>53121.723958333336</v>
      </c>
      <c r="S22" s="112">
        <f t="shared" si="3"/>
        <v>637460.6875</v>
      </c>
    </row>
    <row r="23" spans="1:19" ht="20.25" customHeight="1">
      <c r="A23" s="113">
        <v>13</v>
      </c>
      <c r="B23" s="109" t="s">
        <v>316</v>
      </c>
      <c r="C23" s="110" t="s">
        <v>127</v>
      </c>
      <c r="D23" s="99" t="s">
        <v>191</v>
      </c>
      <c r="E23" s="110" t="s">
        <v>314</v>
      </c>
      <c r="F23" s="115" t="s">
        <v>196</v>
      </c>
      <c r="G23" s="167" t="s">
        <v>247</v>
      </c>
      <c r="H23" s="48">
        <v>17697</v>
      </c>
      <c r="I23" s="114">
        <v>19</v>
      </c>
      <c r="J23" s="111">
        <v>5.2</v>
      </c>
      <c r="K23" s="47">
        <v>1.25</v>
      </c>
      <c r="L23" s="48">
        <f t="shared" si="4"/>
        <v>121421.08333333334</v>
      </c>
      <c r="M23" s="48">
        <f t="shared" si="0"/>
        <v>30355.270833333336</v>
      </c>
      <c r="N23" s="48">
        <f t="shared" si="1"/>
        <v>151776.35416666669</v>
      </c>
      <c r="O23" s="48"/>
      <c r="P23" s="48">
        <f t="shared" si="6"/>
        <v>53121.723958333336</v>
      </c>
      <c r="Q23" s="48"/>
      <c r="R23" s="48">
        <f t="shared" si="2"/>
        <v>53121.723958333336</v>
      </c>
      <c r="S23" s="112">
        <f t="shared" si="3"/>
        <v>637460.6875</v>
      </c>
    </row>
    <row r="24" spans="1:19" ht="18" customHeight="1">
      <c r="A24" s="113">
        <v>14</v>
      </c>
      <c r="B24" s="109" t="s">
        <v>67</v>
      </c>
      <c r="C24" s="110" t="s">
        <v>317</v>
      </c>
      <c r="D24" s="99" t="s">
        <v>191</v>
      </c>
      <c r="E24" s="110" t="s">
        <v>314</v>
      </c>
      <c r="F24" s="115" t="s">
        <v>217</v>
      </c>
      <c r="G24" s="167" t="s">
        <v>247</v>
      </c>
      <c r="H24" s="48">
        <v>17697</v>
      </c>
      <c r="I24" s="114">
        <v>21</v>
      </c>
      <c r="J24" s="111">
        <v>5.2</v>
      </c>
      <c r="K24" s="47">
        <v>1.25</v>
      </c>
      <c r="L24" s="48">
        <f t="shared" si="4"/>
        <v>134202.25000000003</v>
      </c>
      <c r="M24" s="48">
        <f t="shared" si="0"/>
        <v>33550.562500000007</v>
      </c>
      <c r="N24" s="48">
        <f t="shared" si="1"/>
        <v>167752.81250000003</v>
      </c>
      <c r="O24" s="48"/>
      <c r="P24" s="48">
        <f t="shared" si="6"/>
        <v>58713.484375000007</v>
      </c>
      <c r="Q24" s="48"/>
      <c r="R24" s="48">
        <f t="shared" si="2"/>
        <v>58713.484375000007</v>
      </c>
      <c r="S24" s="112">
        <f t="shared" si="3"/>
        <v>704561.81250000012</v>
      </c>
    </row>
    <row r="25" spans="1:19" ht="18" customHeight="1">
      <c r="A25" s="113">
        <v>15</v>
      </c>
      <c r="B25" s="109" t="s">
        <v>64</v>
      </c>
      <c r="C25" s="110" t="s">
        <v>318</v>
      </c>
      <c r="D25" s="99" t="s">
        <v>191</v>
      </c>
      <c r="E25" s="110" t="s">
        <v>314</v>
      </c>
      <c r="F25" s="115" t="s">
        <v>205</v>
      </c>
      <c r="G25" s="167" t="s">
        <v>247</v>
      </c>
      <c r="H25" s="48">
        <v>17697</v>
      </c>
      <c r="I25" s="114">
        <v>19</v>
      </c>
      <c r="J25" s="111">
        <v>5.2</v>
      </c>
      <c r="K25" s="47">
        <v>1.25</v>
      </c>
      <c r="L25" s="48">
        <f t="shared" si="4"/>
        <v>121421.08333333334</v>
      </c>
      <c r="M25" s="48">
        <f t="shared" si="0"/>
        <v>30355.270833333336</v>
      </c>
      <c r="N25" s="48">
        <f t="shared" si="1"/>
        <v>151776.35416666669</v>
      </c>
      <c r="O25" s="48"/>
      <c r="P25" s="48">
        <f t="shared" si="6"/>
        <v>53121.723958333336</v>
      </c>
      <c r="Q25" s="48"/>
      <c r="R25" s="48">
        <f t="shared" si="2"/>
        <v>53121.723958333336</v>
      </c>
      <c r="S25" s="112">
        <f t="shared" si="3"/>
        <v>637460.6875</v>
      </c>
    </row>
    <row r="26" spans="1:19" ht="20.25" customHeight="1">
      <c r="A26" s="113">
        <v>16</v>
      </c>
      <c r="B26" s="109" t="s">
        <v>75</v>
      </c>
      <c r="C26" s="110" t="s">
        <v>120</v>
      </c>
      <c r="D26" s="99" t="s">
        <v>191</v>
      </c>
      <c r="E26" s="110" t="s">
        <v>314</v>
      </c>
      <c r="F26" s="115" t="s">
        <v>223</v>
      </c>
      <c r="G26" s="167" t="s">
        <v>247</v>
      </c>
      <c r="H26" s="48">
        <v>17697</v>
      </c>
      <c r="I26" s="114">
        <v>21</v>
      </c>
      <c r="J26" s="111">
        <v>5.12</v>
      </c>
      <c r="K26" s="47">
        <v>1.25</v>
      </c>
      <c r="L26" s="48">
        <f t="shared" si="4"/>
        <v>132137.60000000001</v>
      </c>
      <c r="M26" s="48">
        <f t="shared" si="0"/>
        <v>33034.400000000001</v>
      </c>
      <c r="N26" s="48">
        <f t="shared" si="1"/>
        <v>165172</v>
      </c>
      <c r="O26" s="48"/>
      <c r="P26" s="48">
        <f t="shared" si="6"/>
        <v>57810.2</v>
      </c>
      <c r="Q26" s="48"/>
      <c r="R26" s="48">
        <f t="shared" si="2"/>
        <v>57810.2</v>
      </c>
      <c r="S26" s="112">
        <f t="shared" si="3"/>
        <v>693722.39999999991</v>
      </c>
    </row>
    <row r="27" spans="1:19">
      <c r="A27" s="113">
        <v>17</v>
      </c>
      <c r="B27" s="109" t="s">
        <v>78</v>
      </c>
      <c r="C27" s="110" t="s">
        <v>121</v>
      </c>
      <c r="D27" s="99" t="s">
        <v>191</v>
      </c>
      <c r="E27" s="110" t="s">
        <v>314</v>
      </c>
      <c r="F27" s="115" t="s">
        <v>226</v>
      </c>
      <c r="G27" s="167" t="s">
        <v>247</v>
      </c>
      <c r="H27" s="48">
        <v>17697</v>
      </c>
      <c r="I27" s="114">
        <v>20</v>
      </c>
      <c r="J27" s="111">
        <v>5.03</v>
      </c>
      <c r="K27" s="47">
        <v>1.25</v>
      </c>
      <c r="L27" s="48">
        <f t="shared" si="4"/>
        <v>123633.20833333334</v>
      </c>
      <c r="M27" s="48">
        <f t="shared" si="0"/>
        <v>30908.302083333336</v>
      </c>
      <c r="N27" s="48">
        <f t="shared" si="1"/>
        <v>154541.51041666669</v>
      </c>
      <c r="O27" s="48"/>
      <c r="P27" s="48">
        <f t="shared" si="6"/>
        <v>54089.528645833336</v>
      </c>
      <c r="Q27" s="48"/>
      <c r="R27" s="48">
        <f t="shared" si="2"/>
        <v>54089.528645833336</v>
      </c>
      <c r="S27" s="112">
        <f t="shared" si="3"/>
        <v>649074.34375</v>
      </c>
    </row>
    <row r="28" spans="1:19">
      <c r="A28" s="113">
        <v>18</v>
      </c>
      <c r="B28" s="109" t="s">
        <v>98</v>
      </c>
      <c r="C28" s="110" t="s">
        <v>127</v>
      </c>
      <c r="D28" s="99" t="s">
        <v>191</v>
      </c>
      <c r="E28" s="110" t="s">
        <v>314</v>
      </c>
      <c r="F28" s="115" t="s">
        <v>236</v>
      </c>
      <c r="G28" s="167" t="s">
        <v>247</v>
      </c>
      <c r="H28" s="48">
        <v>17697</v>
      </c>
      <c r="I28" s="114">
        <v>19</v>
      </c>
      <c r="J28" s="111">
        <v>5.2</v>
      </c>
      <c r="K28" s="47">
        <v>1.25</v>
      </c>
      <c r="L28" s="48">
        <f t="shared" si="4"/>
        <v>121421.08333333334</v>
      </c>
      <c r="M28" s="48">
        <f t="shared" si="0"/>
        <v>30355.270833333336</v>
      </c>
      <c r="N28" s="48">
        <f t="shared" si="1"/>
        <v>151776.35416666669</v>
      </c>
      <c r="O28" s="48"/>
      <c r="P28" s="48">
        <f t="shared" si="6"/>
        <v>53121.723958333336</v>
      </c>
      <c r="Q28" s="48"/>
      <c r="R28" s="48">
        <f t="shared" si="2"/>
        <v>53121.723958333336</v>
      </c>
      <c r="S28" s="112">
        <f t="shared" si="3"/>
        <v>637460.6875</v>
      </c>
    </row>
    <row r="29" spans="1:19" ht="19.5" customHeight="1">
      <c r="A29" s="113">
        <v>19</v>
      </c>
      <c r="B29" s="109" t="s">
        <v>93</v>
      </c>
      <c r="C29" s="110" t="s">
        <v>127</v>
      </c>
      <c r="D29" s="99" t="s">
        <v>191</v>
      </c>
      <c r="E29" s="110" t="s">
        <v>314</v>
      </c>
      <c r="F29" s="115" t="s">
        <v>232</v>
      </c>
      <c r="G29" s="167" t="s">
        <v>247</v>
      </c>
      <c r="H29" s="48">
        <v>17697</v>
      </c>
      <c r="I29" s="114">
        <v>18</v>
      </c>
      <c r="J29" s="111">
        <v>5.2</v>
      </c>
      <c r="K29" s="47">
        <v>1.25</v>
      </c>
      <c r="L29" s="48">
        <f t="shared" si="4"/>
        <v>115030.50000000001</v>
      </c>
      <c r="M29" s="48">
        <f t="shared" si="0"/>
        <v>28757.625000000004</v>
      </c>
      <c r="N29" s="48">
        <f t="shared" si="1"/>
        <v>143788.12500000003</v>
      </c>
      <c r="O29" s="48"/>
      <c r="P29" s="48">
        <f t="shared" si="6"/>
        <v>50325.843750000007</v>
      </c>
      <c r="Q29" s="48"/>
      <c r="R29" s="48">
        <f t="shared" si="2"/>
        <v>50325.843750000007</v>
      </c>
      <c r="S29" s="112">
        <f t="shared" si="3"/>
        <v>603910.12500000012</v>
      </c>
    </row>
    <row r="30" spans="1:19" ht="18.75" customHeight="1">
      <c r="A30" s="113">
        <v>20</v>
      </c>
      <c r="B30" s="110" t="s">
        <v>319</v>
      </c>
      <c r="C30" s="119" t="s">
        <v>118</v>
      </c>
      <c r="D30" s="99" t="s">
        <v>191</v>
      </c>
      <c r="E30" s="120" t="s">
        <v>314</v>
      </c>
      <c r="F30" s="115" t="s">
        <v>219</v>
      </c>
      <c r="G30" s="167" t="s">
        <v>247</v>
      </c>
      <c r="H30" s="48">
        <v>17697</v>
      </c>
      <c r="I30" s="114">
        <v>20</v>
      </c>
      <c r="J30" s="121">
        <v>5.2</v>
      </c>
      <c r="K30" s="47">
        <v>1.25</v>
      </c>
      <c r="L30" s="48">
        <f t="shared" si="4"/>
        <v>127811.66666666669</v>
      </c>
      <c r="M30" s="48">
        <f t="shared" si="0"/>
        <v>31952.916666666672</v>
      </c>
      <c r="N30" s="48">
        <f t="shared" si="1"/>
        <v>159764.58333333337</v>
      </c>
      <c r="O30" s="48"/>
      <c r="P30" s="48">
        <f t="shared" si="6"/>
        <v>55917.604166666679</v>
      </c>
      <c r="Q30" s="48"/>
      <c r="R30" s="48">
        <f t="shared" si="2"/>
        <v>55917.604166666679</v>
      </c>
      <c r="S30" s="112">
        <f t="shared" si="3"/>
        <v>671011.25000000012</v>
      </c>
    </row>
    <row r="31" spans="1:19" ht="20.25" customHeight="1">
      <c r="A31" s="225">
        <v>21</v>
      </c>
      <c r="B31" s="120" t="s">
        <v>320</v>
      </c>
      <c r="C31" s="110" t="s">
        <v>127</v>
      </c>
      <c r="D31" s="88" t="s">
        <v>191</v>
      </c>
      <c r="E31" s="120" t="s">
        <v>314</v>
      </c>
      <c r="F31" s="115" t="s">
        <v>206</v>
      </c>
      <c r="G31" s="167" t="s">
        <v>321</v>
      </c>
      <c r="H31" s="48">
        <v>17697</v>
      </c>
      <c r="I31" s="114">
        <v>19</v>
      </c>
      <c r="J31" s="228">
        <v>5.2</v>
      </c>
      <c r="K31" s="47">
        <v>1.25</v>
      </c>
      <c r="L31" s="48">
        <f t="shared" si="4"/>
        <v>121421.08333333334</v>
      </c>
      <c r="M31" s="48">
        <f t="shared" si="0"/>
        <v>30355.270833333336</v>
      </c>
      <c r="N31" s="48">
        <f t="shared" si="1"/>
        <v>151776.35416666669</v>
      </c>
      <c r="O31" s="48"/>
      <c r="P31" s="48">
        <f t="shared" si="6"/>
        <v>53121.723958333336</v>
      </c>
      <c r="Q31" s="48"/>
      <c r="R31" s="48">
        <f t="shared" si="2"/>
        <v>53121.723958333336</v>
      </c>
      <c r="S31" s="112">
        <f t="shared" si="3"/>
        <v>637460.6875</v>
      </c>
    </row>
    <row r="32" spans="1:19" ht="20.25" customHeight="1">
      <c r="A32" s="113">
        <v>22</v>
      </c>
      <c r="B32" s="123" t="s">
        <v>91</v>
      </c>
      <c r="C32" s="124" t="s">
        <v>326</v>
      </c>
      <c r="D32" s="99" t="s">
        <v>191</v>
      </c>
      <c r="E32" s="110" t="s">
        <v>314</v>
      </c>
      <c r="F32" s="115" t="s">
        <v>231</v>
      </c>
      <c r="G32" s="47" t="s">
        <v>247</v>
      </c>
      <c r="H32" s="48">
        <v>17697</v>
      </c>
      <c r="I32" s="114">
        <v>20</v>
      </c>
      <c r="J32" s="125">
        <v>5.2</v>
      </c>
      <c r="K32" s="47">
        <v>1.25</v>
      </c>
      <c r="L32" s="48">
        <f>(J32*H32)/18*16*K32+(J32*H32/24*4)*K32</f>
        <v>121421.08333333334</v>
      </c>
      <c r="M32" s="48">
        <f t="shared" ref="M32" si="7">(L32)*25%</f>
        <v>30355.270833333336</v>
      </c>
      <c r="N32" s="48">
        <f t="shared" ref="N32" si="8">SUM(M32+L32)</f>
        <v>151776.35416666669</v>
      </c>
      <c r="O32" s="48"/>
      <c r="P32" s="48">
        <f t="shared" si="6"/>
        <v>53121.723958333336</v>
      </c>
      <c r="Q32" s="48"/>
      <c r="R32" s="48">
        <f t="shared" ref="R32" si="9">O32+P32+Q32</f>
        <v>53121.723958333336</v>
      </c>
      <c r="S32" s="112">
        <f t="shared" ref="S32" si="10">R32*12</f>
        <v>637460.6875</v>
      </c>
    </row>
    <row r="33" spans="1:19" ht="19.5" customHeight="1">
      <c r="A33" s="226">
        <v>23</v>
      </c>
      <c r="B33" s="117" t="s">
        <v>81</v>
      </c>
      <c r="C33" s="118" t="s">
        <v>122</v>
      </c>
      <c r="D33" s="99" t="s">
        <v>191</v>
      </c>
      <c r="E33" s="118" t="s">
        <v>322</v>
      </c>
      <c r="F33" s="115" t="s">
        <v>203</v>
      </c>
      <c r="G33" s="167" t="s">
        <v>249</v>
      </c>
      <c r="H33" s="48">
        <v>17697</v>
      </c>
      <c r="I33" s="114">
        <v>18</v>
      </c>
      <c r="J33" s="111">
        <v>4.66</v>
      </c>
      <c r="K33" s="47">
        <v>1.25</v>
      </c>
      <c r="L33" s="48">
        <f t="shared" si="4"/>
        <v>103085.02500000002</v>
      </c>
      <c r="M33" s="48">
        <f t="shared" si="0"/>
        <v>25771.256250000006</v>
      </c>
      <c r="N33" s="48">
        <f t="shared" si="1"/>
        <v>128856.28125000003</v>
      </c>
      <c r="O33" s="48"/>
      <c r="P33" s="48"/>
      <c r="Q33" s="48">
        <f t="shared" ref="Q33:Q40" si="11">N33*30%</f>
        <v>38656.884375000009</v>
      </c>
      <c r="R33" s="48">
        <f t="shared" si="2"/>
        <v>38656.884375000009</v>
      </c>
      <c r="S33" s="112">
        <f t="shared" si="3"/>
        <v>463882.6125000001</v>
      </c>
    </row>
    <row r="34" spans="1:19" ht="18.75" customHeight="1">
      <c r="A34" s="113">
        <v>24</v>
      </c>
      <c r="B34" s="109" t="s">
        <v>95</v>
      </c>
      <c r="C34" s="110" t="s">
        <v>119</v>
      </c>
      <c r="D34" s="99" t="s">
        <v>191</v>
      </c>
      <c r="E34" s="110" t="s">
        <v>322</v>
      </c>
      <c r="F34" s="115" t="s">
        <v>234</v>
      </c>
      <c r="G34" s="167" t="s">
        <v>249</v>
      </c>
      <c r="H34" s="48">
        <v>17697</v>
      </c>
      <c r="I34" s="114">
        <v>19</v>
      </c>
      <c r="J34" s="111">
        <v>5.08</v>
      </c>
      <c r="K34" s="47">
        <v>1.25</v>
      </c>
      <c r="L34" s="48">
        <f t="shared" si="4"/>
        <v>118619.05833333335</v>
      </c>
      <c r="M34" s="48">
        <f t="shared" si="0"/>
        <v>29654.764583333337</v>
      </c>
      <c r="N34" s="48">
        <f t="shared" si="1"/>
        <v>148273.82291666669</v>
      </c>
      <c r="O34" s="48"/>
      <c r="P34" s="48"/>
      <c r="Q34" s="48">
        <f t="shared" si="11"/>
        <v>44482.146875000006</v>
      </c>
      <c r="R34" s="48">
        <f t="shared" si="2"/>
        <v>44482.146875000006</v>
      </c>
      <c r="S34" s="112">
        <f t="shared" si="3"/>
        <v>533785.76250000007</v>
      </c>
    </row>
    <row r="35" spans="1:19" ht="19.5" customHeight="1">
      <c r="A35" s="113">
        <v>25</v>
      </c>
      <c r="B35" s="109" t="s">
        <v>57</v>
      </c>
      <c r="C35" s="110" t="s">
        <v>127</v>
      </c>
      <c r="D35" s="99" t="s">
        <v>191</v>
      </c>
      <c r="E35" s="110" t="s">
        <v>322</v>
      </c>
      <c r="F35" s="115" t="s">
        <v>208</v>
      </c>
      <c r="G35" s="167" t="s">
        <v>249</v>
      </c>
      <c r="H35" s="48">
        <v>17697</v>
      </c>
      <c r="I35" s="114">
        <v>17.5</v>
      </c>
      <c r="J35" s="111">
        <v>4.74</v>
      </c>
      <c r="K35" s="47">
        <v>1.25</v>
      </c>
      <c r="L35" s="48">
        <f>(J35*H35)/18*14*K35+(J35*H35)/24*3.5*K35</f>
        <v>96844.989062499997</v>
      </c>
      <c r="M35" s="48">
        <f t="shared" si="0"/>
        <v>24211.247265624999</v>
      </c>
      <c r="N35" s="48">
        <f t="shared" si="1"/>
        <v>121056.236328125</v>
      </c>
      <c r="O35" s="48"/>
      <c r="P35" s="48"/>
      <c r="Q35" s="48">
        <f t="shared" si="11"/>
        <v>36316.870898437497</v>
      </c>
      <c r="R35" s="48">
        <f t="shared" si="2"/>
        <v>36316.870898437497</v>
      </c>
      <c r="S35" s="112">
        <f t="shared" si="3"/>
        <v>435802.45078124997</v>
      </c>
    </row>
    <row r="36" spans="1:19" ht="19.5" customHeight="1">
      <c r="A36" s="113">
        <v>26</v>
      </c>
      <c r="B36" s="109" t="s">
        <v>68</v>
      </c>
      <c r="C36" s="110" t="s">
        <v>317</v>
      </c>
      <c r="D36" s="99" t="s">
        <v>191</v>
      </c>
      <c r="E36" s="110" t="s">
        <v>322</v>
      </c>
      <c r="F36" s="115" t="s">
        <v>218</v>
      </c>
      <c r="G36" s="167" t="s">
        <v>249</v>
      </c>
      <c r="H36" s="48">
        <v>17697</v>
      </c>
      <c r="I36" s="114">
        <v>11</v>
      </c>
      <c r="J36" s="111">
        <v>4.9000000000000004</v>
      </c>
      <c r="K36" s="47">
        <v>1.25</v>
      </c>
      <c r="L36" s="48">
        <f t="shared" si="4"/>
        <v>66240.854166666672</v>
      </c>
      <c r="M36" s="48">
        <f t="shared" si="0"/>
        <v>16560.213541666668</v>
      </c>
      <c r="N36" s="48">
        <f t="shared" si="1"/>
        <v>82801.067708333343</v>
      </c>
      <c r="O36" s="48"/>
      <c r="P36" s="48"/>
      <c r="Q36" s="48">
        <f t="shared" si="11"/>
        <v>24840.320312500004</v>
      </c>
      <c r="R36" s="48">
        <f t="shared" si="2"/>
        <v>24840.320312500004</v>
      </c>
      <c r="S36" s="112">
        <f t="shared" si="3"/>
        <v>298083.84375000006</v>
      </c>
    </row>
    <row r="37" spans="1:19" ht="20.25" customHeight="1">
      <c r="A37" s="113">
        <v>27</v>
      </c>
      <c r="B37" s="109" t="s">
        <v>63</v>
      </c>
      <c r="C37" s="110" t="s">
        <v>317</v>
      </c>
      <c r="D37" s="99" t="s">
        <v>191</v>
      </c>
      <c r="E37" s="110" t="s">
        <v>322</v>
      </c>
      <c r="F37" s="115" t="s">
        <v>214</v>
      </c>
      <c r="G37" s="167" t="s">
        <v>249</v>
      </c>
      <c r="H37" s="48">
        <v>17697</v>
      </c>
      <c r="I37" s="114">
        <v>7</v>
      </c>
      <c r="J37" s="111">
        <v>4.8099999999999996</v>
      </c>
      <c r="K37" s="47">
        <v>1.25</v>
      </c>
      <c r="L37" s="48">
        <f t="shared" si="4"/>
        <v>41379.027083333334</v>
      </c>
      <c r="M37" s="48">
        <f t="shared" si="0"/>
        <v>10344.756770833334</v>
      </c>
      <c r="N37" s="48">
        <f t="shared" si="1"/>
        <v>51723.783854166672</v>
      </c>
      <c r="O37" s="48"/>
      <c r="P37" s="48"/>
      <c r="Q37" s="48">
        <f t="shared" si="11"/>
        <v>15517.13515625</v>
      </c>
      <c r="R37" s="48">
        <f t="shared" si="2"/>
        <v>15517.13515625</v>
      </c>
      <c r="S37" s="112">
        <f t="shared" si="3"/>
        <v>186205.62187500001</v>
      </c>
    </row>
    <row r="38" spans="1:19" ht="19.5" customHeight="1">
      <c r="A38" s="113">
        <v>28</v>
      </c>
      <c r="B38" s="110" t="s">
        <v>73</v>
      </c>
      <c r="C38" s="110" t="s">
        <v>119</v>
      </c>
      <c r="D38" s="99" t="s">
        <v>191</v>
      </c>
      <c r="E38" s="110" t="s">
        <v>322</v>
      </c>
      <c r="F38" s="115" t="s">
        <v>196</v>
      </c>
      <c r="G38" s="167" t="s">
        <v>249</v>
      </c>
      <c r="H38" s="48">
        <v>17697</v>
      </c>
      <c r="I38" s="114">
        <v>19</v>
      </c>
      <c r="J38" s="111">
        <v>5.16</v>
      </c>
      <c r="K38" s="47">
        <v>1.25</v>
      </c>
      <c r="L38" s="48">
        <f t="shared" si="4"/>
        <v>120487.07500000001</v>
      </c>
      <c r="M38" s="48">
        <f t="shared" si="0"/>
        <v>30121.768750000003</v>
      </c>
      <c r="N38" s="48">
        <f t="shared" si="1"/>
        <v>150608.84375</v>
      </c>
      <c r="O38" s="48"/>
      <c r="P38" s="48"/>
      <c r="Q38" s="48">
        <f t="shared" si="11"/>
        <v>45182.653124999997</v>
      </c>
      <c r="R38" s="48">
        <f t="shared" si="2"/>
        <v>45182.653124999997</v>
      </c>
      <c r="S38" s="112">
        <f t="shared" si="3"/>
        <v>542191.83749999991</v>
      </c>
    </row>
    <row r="39" spans="1:19" ht="20.25" customHeight="1">
      <c r="A39" s="113">
        <v>29</v>
      </c>
      <c r="B39" s="109" t="s">
        <v>76</v>
      </c>
      <c r="C39" s="110" t="s">
        <v>323</v>
      </c>
      <c r="D39" s="99" t="s">
        <v>191</v>
      </c>
      <c r="E39" s="110" t="s">
        <v>322</v>
      </c>
      <c r="F39" s="115" t="s">
        <v>224</v>
      </c>
      <c r="G39" s="47" t="s">
        <v>249</v>
      </c>
      <c r="H39" s="48">
        <v>17697</v>
      </c>
      <c r="I39" s="114">
        <v>16</v>
      </c>
      <c r="J39" s="111">
        <v>4.66</v>
      </c>
      <c r="K39" s="47">
        <v>1.25</v>
      </c>
      <c r="L39" s="48">
        <f t="shared" si="4"/>
        <v>91631.133333333346</v>
      </c>
      <c r="M39" s="48">
        <f t="shared" si="0"/>
        <v>22907.783333333336</v>
      </c>
      <c r="N39" s="48">
        <f t="shared" si="1"/>
        <v>114538.91666666669</v>
      </c>
      <c r="O39" s="48"/>
      <c r="P39" s="48"/>
      <c r="Q39" s="48">
        <f>N39*30%</f>
        <v>34361.675000000003</v>
      </c>
      <c r="R39" s="48">
        <f t="shared" si="2"/>
        <v>34361.675000000003</v>
      </c>
      <c r="S39" s="112">
        <f t="shared" si="3"/>
        <v>412340.10000000003</v>
      </c>
    </row>
    <row r="40" spans="1:19" ht="19.5" customHeight="1">
      <c r="A40" s="113">
        <v>30</v>
      </c>
      <c r="B40" s="109" t="s">
        <v>85</v>
      </c>
      <c r="C40" s="110" t="s">
        <v>124</v>
      </c>
      <c r="D40" s="99" t="s">
        <v>191</v>
      </c>
      <c r="E40" s="110" t="s">
        <v>322</v>
      </c>
      <c r="F40" s="115" t="s">
        <v>228</v>
      </c>
      <c r="G40" s="47" t="s">
        <v>249</v>
      </c>
      <c r="H40" s="48">
        <v>17697</v>
      </c>
      <c r="I40" s="114">
        <v>18</v>
      </c>
      <c r="J40" s="111">
        <v>4.74</v>
      </c>
      <c r="K40" s="47">
        <v>1.25</v>
      </c>
      <c r="L40" s="48">
        <f t="shared" si="4"/>
        <v>104854.72500000001</v>
      </c>
      <c r="M40" s="48">
        <f t="shared" si="0"/>
        <v>26213.681250000001</v>
      </c>
      <c r="N40" s="48">
        <f t="shared" si="1"/>
        <v>131068.40625</v>
      </c>
      <c r="O40" s="48"/>
      <c r="P40" s="48"/>
      <c r="Q40" s="48">
        <f t="shared" si="11"/>
        <v>39320.521874999999</v>
      </c>
      <c r="R40" s="48">
        <f t="shared" si="2"/>
        <v>39320.521874999999</v>
      </c>
      <c r="S40" s="112">
        <f t="shared" si="3"/>
        <v>471846.26249999995</v>
      </c>
    </row>
    <row r="41" spans="1:19" ht="19.5" customHeight="1">
      <c r="A41" s="113">
        <v>31</v>
      </c>
      <c r="B41" s="109" t="s">
        <v>94</v>
      </c>
      <c r="C41" s="110" t="s">
        <v>127</v>
      </c>
      <c r="D41" s="99" t="s">
        <v>191</v>
      </c>
      <c r="E41" s="110" t="s">
        <v>322</v>
      </c>
      <c r="F41" s="115" t="s">
        <v>233</v>
      </c>
      <c r="G41" s="47" t="s">
        <v>249</v>
      </c>
      <c r="H41" s="48">
        <v>17697</v>
      </c>
      <c r="I41" s="114">
        <v>19</v>
      </c>
      <c r="J41" s="111">
        <v>4.99</v>
      </c>
      <c r="K41" s="47">
        <v>1.25</v>
      </c>
      <c r="L41" s="48">
        <f t="shared" si="4"/>
        <v>116517.53958333335</v>
      </c>
      <c r="M41" s="48">
        <f t="shared" si="0"/>
        <v>29129.384895833336</v>
      </c>
      <c r="N41" s="48">
        <f t="shared" si="1"/>
        <v>145646.92447916669</v>
      </c>
      <c r="O41" s="48"/>
      <c r="P41" s="48"/>
      <c r="Q41" s="48">
        <f>N41*30%</f>
        <v>43694.077343750003</v>
      </c>
      <c r="R41" s="48">
        <f t="shared" si="2"/>
        <v>43694.077343750003</v>
      </c>
      <c r="S41" s="112">
        <f t="shared" si="3"/>
        <v>524328.92812500009</v>
      </c>
    </row>
    <row r="42" spans="1:19" ht="19.5" customHeight="1">
      <c r="A42" s="113">
        <v>32</v>
      </c>
      <c r="B42" s="110" t="s">
        <v>56</v>
      </c>
      <c r="C42" s="110" t="s">
        <v>308</v>
      </c>
      <c r="D42" s="99" t="s">
        <v>191</v>
      </c>
      <c r="E42" s="110" t="s">
        <v>322</v>
      </c>
      <c r="F42" s="115" t="s">
        <v>207</v>
      </c>
      <c r="G42" s="47" t="s">
        <v>249</v>
      </c>
      <c r="H42" s="48">
        <v>17697</v>
      </c>
      <c r="I42" s="114">
        <v>21</v>
      </c>
      <c r="J42" s="122">
        <v>4.99</v>
      </c>
      <c r="K42" s="47">
        <v>1.25</v>
      </c>
      <c r="L42" s="48">
        <f t="shared" si="4"/>
        <v>128782.54375000001</v>
      </c>
      <c r="M42" s="48">
        <f t="shared" si="0"/>
        <v>32195.635937500003</v>
      </c>
      <c r="N42" s="48">
        <f t="shared" si="1"/>
        <v>160978.1796875</v>
      </c>
      <c r="O42" s="48"/>
      <c r="P42" s="48"/>
      <c r="Q42" s="48">
        <f>N42*30%</f>
        <v>48293.453906249997</v>
      </c>
      <c r="R42" s="48">
        <f t="shared" si="2"/>
        <v>48293.453906249997</v>
      </c>
      <c r="S42" s="112">
        <f t="shared" si="3"/>
        <v>579521.44687499991</v>
      </c>
    </row>
    <row r="43" spans="1:19" ht="19.5" customHeight="1">
      <c r="A43" s="113">
        <v>33</v>
      </c>
      <c r="B43" s="110" t="s">
        <v>324</v>
      </c>
      <c r="C43" s="110" t="s">
        <v>311</v>
      </c>
      <c r="D43" s="99" t="s">
        <v>191</v>
      </c>
      <c r="E43" s="110" t="s">
        <v>322</v>
      </c>
      <c r="F43" s="115" t="s">
        <v>203</v>
      </c>
      <c r="G43" s="47" t="s">
        <v>249</v>
      </c>
      <c r="H43" s="48">
        <v>17697</v>
      </c>
      <c r="I43" s="114">
        <v>21</v>
      </c>
      <c r="J43" s="122">
        <v>4.66</v>
      </c>
      <c r="K43" s="47">
        <v>1.25</v>
      </c>
      <c r="L43" s="48">
        <f t="shared" si="4"/>
        <v>120265.86250000002</v>
      </c>
      <c r="M43" s="48">
        <f t="shared" si="0"/>
        <v>30066.465625000004</v>
      </c>
      <c r="N43" s="48">
        <f t="shared" si="1"/>
        <v>150332.32812500003</v>
      </c>
      <c r="O43" s="48"/>
      <c r="P43" s="48"/>
      <c r="Q43" s="48">
        <f t="shared" ref="Q43:Q45" si="12">N43*30%</f>
        <v>45099.69843750001</v>
      </c>
      <c r="R43" s="48">
        <f t="shared" si="2"/>
        <v>45099.69843750001</v>
      </c>
      <c r="S43" s="112">
        <f t="shared" si="3"/>
        <v>541196.38125000009</v>
      </c>
    </row>
    <row r="44" spans="1:19" ht="20.25" customHeight="1">
      <c r="A44" s="113">
        <v>34</v>
      </c>
      <c r="B44" s="110" t="s">
        <v>60</v>
      </c>
      <c r="C44" s="110" t="s">
        <v>325</v>
      </c>
      <c r="D44" s="99" t="s">
        <v>191</v>
      </c>
      <c r="E44" s="110" t="s">
        <v>322</v>
      </c>
      <c r="F44" s="115" t="s">
        <v>211</v>
      </c>
      <c r="G44" s="47" t="s">
        <v>249</v>
      </c>
      <c r="H44" s="48">
        <v>17697</v>
      </c>
      <c r="I44" s="114">
        <v>19</v>
      </c>
      <c r="J44" s="122">
        <v>4.59</v>
      </c>
      <c r="K44" s="47">
        <v>1.25</v>
      </c>
      <c r="L44" s="48">
        <f t="shared" si="4"/>
        <v>107177.45624999999</v>
      </c>
      <c r="M44" s="48">
        <f t="shared" si="0"/>
        <v>26794.364062499997</v>
      </c>
      <c r="N44" s="48">
        <f t="shared" si="1"/>
        <v>133971.8203125</v>
      </c>
      <c r="O44" s="48"/>
      <c r="P44" s="48"/>
      <c r="Q44" s="48">
        <f t="shared" si="12"/>
        <v>40191.546093749996</v>
      </c>
      <c r="R44" s="48">
        <f t="shared" si="2"/>
        <v>40191.546093749996</v>
      </c>
      <c r="S44" s="112">
        <f t="shared" si="3"/>
        <v>482298.55312499998</v>
      </c>
    </row>
    <row r="45" spans="1:19" ht="20.25" customHeight="1">
      <c r="A45" s="113">
        <v>35</v>
      </c>
      <c r="B45" s="110" t="s">
        <v>86</v>
      </c>
      <c r="C45" s="110" t="s">
        <v>312</v>
      </c>
      <c r="D45" s="99" t="s">
        <v>191</v>
      </c>
      <c r="E45" s="110" t="s">
        <v>322</v>
      </c>
      <c r="F45" s="115" t="s">
        <v>211</v>
      </c>
      <c r="G45" s="47" t="s">
        <v>249</v>
      </c>
      <c r="H45" s="48">
        <v>17697</v>
      </c>
      <c r="I45" s="114">
        <v>18</v>
      </c>
      <c r="J45" s="122">
        <v>4.59</v>
      </c>
      <c r="K45" s="47">
        <v>1.25</v>
      </c>
      <c r="L45" s="48">
        <f t="shared" si="4"/>
        <v>101536.53749999999</v>
      </c>
      <c r="M45" s="48">
        <f t="shared" si="0"/>
        <v>25384.134374999998</v>
      </c>
      <c r="N45" s="48">
        <f t="shared" si="1"/>
        <v>126920.67187499999</v>
      </c>
      <c r="O45" s="48"/>
      <c r="P45" s="48"/>
      <c r="Q45" s="48">
        <f t="shared" si="12"/>
        <v>38076.201562499991</v>
      </c>
      <c r="R45" s="48">
        <f t="shared" si="2"/>
        <v>38076.201562499991</v>
      </c>
      <c r="S45" s="112">
        <f t="shared" si="3"/>
        <v>456914.4187499999</v>
      </c>
    </row>
    <row r="46" spans="1:19" ht="16.5" customHeight="1">
      <c r="A46" s="113">
        <v>36</v>
      </c>
      <c r="B46" s="123" t="s">
        <v>82</v>
      </c>
      <c r="C46" s="118" t="s">
        <v>122</v>
      </c>
      <c r="D46" s="99" t="s">
        <v>191</v>
      </c>
      <c r="E46" s="110" t="s">
        <v>322</v>
      </c>
      <c r="F46" s="115" t="s">
        <v>211</v>
      </c>
      <c r="G46" s="47" t="s">
        <v>249</v>
      </c>
      <c r="H46" s="48">
        <v>17697</v>
      </c>
      <c r="I46" s="114">
        <v>18</v>
      </c>
      <c r="J46" s="125">
        <v>4.59</v>
      </c>
      <c r="K46" s="47">
        <v>1.25</v>
      </c>
      <c r="L46" s="48">
        <f t="shared" si="4"/>
        <v>101536.53749999999</v>
      </c>
      <c r="M46" s="48">
        <f t="shared" si="0"/>
        <v>25384.134374999998</v>
      </c>
      <c r="N46" s="48">
        <f t="shared" si="1"/>
        <v>126920.67187499999</v>
      </c>
      <c r="O46" s="48"/>
      <c r="P46" s="48"/>
      <c r="Q46" s="48">
        <f t="shared" ref="Q46:Q48" si="13">N46*30%</f>
        <v>38076.201562499991</v>
      </c>
      <c r="R46" s="48">
        <f t="shared" si="2"/>
        <v>38076.201562499991</v>
      </c>
      <c r="S46" s="112">
        <f t="shared" si="3"/>
        <v>456914.4187499999</v>
      </c>
    </row>
    <row r="47" spans="1:19" ht="20.25" customHeight="1">
      <c r="A47" s="113">
        <v>37</v>
      </c>
      <c r="B47" s="123" t="s">
        <v>59</v>
      </c>
      <c r="C47" s="110" t="s">
        <v>313</v>
      </c>
      <c r="D47" s="99" t="s">
        <v>191</v>
      </c>
      <c r="E47" s="110" t="s">
        <v>322</v>
      </c>
      <c r="F47" s="115" t="s">
        <v>210</v>
      </c>
      <c r="G47" s="47" t="s">
        <v>249</v>
      </c>
      <c r="H47" s="48">
        <v>17697</v>
      </c>
      <c r="I47" s="114">
        <v>21</v>
      </c>
      <c r="J47" s="125">
        <v>4.99</v>
      </c>
      <c r="K47" s="47">
        <v>1.25</v>
      </c>
      <c r="L47" s="48">
        <f t="shared" si="4"/>
        <v>128782.54375000001</v>
      </c>
      <c r="M47" s="48">
        <f t="shared" si="0"/>
        <v>32195.635937500003</v>
      </c>
      <c r="N47" s="48">
        <f t="shared" si="1"/>
        <v>160978.1796875</v>
      </c>
      <c r="O47" s="48"/>
      <c r="P47" s="48"/>
      <c r="Q47" s="48">
        <f t="shared" si="13"/>
        <v>48293.453906249997</v>
      </c>
      <c r="R47" s="48">
        <f t="shared" si="2"/>
        <v>48293.453906249997</v>
      </c>
      <c r="S47" s="112">
        <f t="shared" si="3"/>
        <v>579521.44687499991</v>
      </c>
    </row>
    <row r="48" spans="1:19" ht="15" customHeight="1">
      <c r="A48" s="113">
        <v>38</v>
      </c>
      <c r="B48" s="123" t="s">
        <v>107</v>
      </c>
      <c r="C48" s="126" t="s">
        <v>380</v>
      </c>
      <c r="D48" s="99" t="s">
        <v>191</v>
      </c>
      <c r="E48" s="110" t="s">
        <v>322</v>
      </c>
      <c r="F48" s="115" t="s">
        <v>240</v>
      </c>
      <c r="G48" s="47" t="s">
        <v>249</v>
      </c>
      <c r="H48" s="48">
        <v>17697</v>
      </c>
      <c r="I48" s="114">
        <v>9</v>
      </c>
      <c r="J48" s="127">
        <v>4.74</v>
      </c>
      <c r="K48" s="47">
        <v>1.25</v>
      </c>
      <c r="L48" s="48">
        <f t="shared" si="4"/>
        <v>52427.362500000003</v>
      </c>
      <c r="M48" s="48">
        <f t="shared" si="0"/>
        <v>13106.840625000001</v>
      </c>
      <c r="N48" s="48">
        <f t="shared" si="1"/>
        <v>65534.203125</v>
      </c>
      <c r="O48" s="48"/>
      <c r="P48" s="48"/>
      <c r="Q48" s="48">
        <f t="shared" si="13"/>
        <v>19660.260937499999</v>
      </c>
      <c r="R48" s="48">
        <f t="shared" si="2"/>
        <v>19660.260937499999</v>
      </c>
      <c r="S48" s="112">
        <f t="shared" si="3"/>
        <v>235923.13124999998</v>
      </c>
    </row>
    <row r="49" spans="1:19" ht="18" customHeight="1">
      <c r="A49" s="113"/>
      <c r="B49" s="128" t="s">
        <v>42</v>
      </c>
      <c r="C49" s="129"/>
      <c r="D49" s="129" t="s">
        <v>43</v>
      </c>
      <c r="E49" s="129"/>
      <c r="F49" s="133" t="s">
        <v>43</v>
      </c>
      <c r="G49" s="116" t="s">
        <v>43</v>
      </c>
      <c r="H49" s="129" t="s">
        <v>43</v>
      </c>
      <c r="I49" s="130">
        <f>SUM(I11:I48)</f>
        <v>695.5</v>
      </c>
      <c r="J49" s="101" t="s">
        <v>43</v>
      </c>
      <c r="K49" s="101" t="s">
        <v>43</v>
      </c>
      <c r="L49" s="131">
        <f>SUM(L11:L48)</f>
        <v>4319189.424479166</v>
      </c>
      <c r="M49" s="131">
        <f>SUM(M11:M48)</f>
        <v>1079797.3561197915</v>
      </c>
      <c r="N49" s="131">
        <f t="shared" si="1"/>
        <v>5398986.7805989571</v>
      </c>
      <c r="O49" s="132">
        <f>SUM(O11:O48)</f>
        <v>430639.28958333342</v>
      </c>
      <c r="P49" s="132">
        <f>SUM(P11:P48)</f>
        <v>812762.37656250002</v>
      </c>
      <c r="Q49" s="132">
        <f>SUM(Q11:Q48)</f>
        <v>600063.10136718745</v>
      </c>
      <c r="R49" s="134">
        <f t="shared" si="2"/>
        <v>1843464.7675130209</v>
      </c>
      <c r="S49" s="134">
        <f t="shared" si="3"/>
        <v>22121577.210156251</v>
      </c>
    </row>
    <row r="50" spans="1:19" ht="15.75">
      <c r="B50" s="135"/>
      <c r="C50" s="135"/>
      <c r="D50" s="107"/>
      <c r="E50" s="136"/>
      <c r="F50" s="136"/>
      <c r="G50" s="135"/>
      <c r="H50" s="136"/>
      <c r="I50" s="135"/>
      <c r="L50" s="135"/>
      <c r="M50" s="135"/>
      <c r="N50" s="136"/>
      <c r="O50" s="136"/>
      <c r="P50" s="135"/>
      <c r="Q50" s="135"/>
      <c r="R50" s="135"/>
      <c r="S50" s="135"/>
    </row>
    <row r="51" spans="1:19" ht="15.75">
      <c r="A51" s="1"/>
      <c r="B51" s="206" t="s">
        <v>327</v>
      </c>
      <c r="C51" s="206"/>
      <c r="D51" s="107"/>
      <c r="E51" s="206" t="s">
        <v>328</v>
      </c>
      <c r="F51" s="206"/>
      <c r="G51" s="206"/>
      <c r="H51" s="107"/>
      <c r="I51" s="210" t="s">
        <v>374</v>
      </c>
      <c r="J51" s="210"/>
      <c r="K51" s="210"/>
      <c r="L51" s="210"/>
      <c r="M51" s="210"/>
      <c r="N51" s="210"/>
      <c r="O51" s="210"/>
      <c r="P51" s="210"/>
      <c r="Q51" s="210"/>
      <c r="R51" s="107"/>
      <c r="S51" s="152"/>
    </row>
    <row r="52" spans="1:19" ht="15.75">
      <c r="A52" s="143"/>
      <c r="B52" s="206"/>
      <c r="C52" s="104"/>
      <c r="D52" s="206"/>
      <c r="E52" s="206"/>
      <c r="F52" s="206"/>
      <c r="G52" s="104"/>
      <c r="H52" s="206"/>
      <c r="I52" s="206"/>
      <c r="J52" s="206"/>
      <c r="K52" s="206"/>
      <c r="L52" s="206"/>
      <c r="M52" s="206"/>
      <c r="N52" s="206"/>
      <c r="O52" s="206"/>
      <c r="P52" s="206"/>
      <c r="Q52" s="107"/>
      <c r="R52" s="107"/>
      <c r="S52" s="152"/>
    </row>
    <row r="53" spans="1:19" ht="15.75">
      <c r="A53" s="1"/>
      <c r="B53" s="206" t="s">
        <v>364</v>
      </c>
      <c r="C53" s="206"/>
      <c r="D53" s="107"/>
      <c r="E53" s="206" t="s">
        <v>329</v>
      </c>
      <c r="F53" s="206"/>
      <c r="G53" s="104"/>
      <c r="H53" s="107"/>
      <c r="I53" s="210" t="s">
        <v>378</v>
      </c>
      <c r="J53" s="210"/>
      <c r="K53" s="210"/>
      <c r="L53" s="210"/>
      <c r="M53" s="210"/>
      <c r="N53" s="210"/>
      <c r="O53" s="210"/>
      <c r="P53" s="210"/>
      <c r="Q53" s="210"/>
      <c r="R53" s="107"/>
      <c r="S53" s="152"/>
    </row>
    <row r="54" spans="1:19" ht="15.75">
      <c r="A54" s="1"/>
      <c r="B54" s="3"/>
      <c r="C54" s="3"/>
      <c r="D54" s="104"/>
      <c r="E54" s="206"/>
      <c r="F54" s="206"/>
      <c r="G54" s="3"/>
      <c r="H54" s="107"/>
      <c r="I54" s="174"/>
      <c r="J54" s="218"/>
      <c r="K54" s="218"/>
      <c r="L54" s="174"/>
      <c r="M54" s="3"/>
      <c r="N54" s="218"/>
      <c r="O54" s="218"/>
      <c r="P54" s="174"/>
      <c r="Q54" s="107"/>
      <c r="R54" s="107"/>
      <c r="S54" s="152"/>
    </row>
    <row r="55" spans="1:19" ht="15.75">
      <c r="A55" s="141"/>
      <c r="B55" s="206"/>
      <c r="C55" s="206"/>
      <c r="D55" s="107"/>
      <c r="E55" s="206"/>
      <c r="F55" s="206"/>
      <c r="G55" s="104"/>
      <c r="H55" s="107"/>
      <c r="I55" s="210" t="s">
        <v>371</v>
      </c>
      <c r="J55" s="210"/>
      <c r="K55" s="210"/>
      <c r="L55" s="210"/>
      <c r="M55" s="210"/>
      <c r="N55" s="210"/>
      <c r="O55" s="210"/>
      <c r="P55" s="210"/>
      <c r="Q55" s="210"/>
      <c r="R55" s="107"/>
      <c r="S55" s="152"/>
    </row>
    <row r="56" spans="1:19" ht="15.75">
      <c r="A56" s="13"/>
      <c r="B56" s="210" t="s">
        <v>332</v>
      </c>
      <c r="C56" s="210"/>
      <c r="D56" s="210"/>
      <c r="E56" s="210"/>
      <c r="F56" s="206"/>
      <c r="G56" s="3"/>
      <c r="H56" s="107"/>
      <c r="I56" s="206"/>
      <c r="J56" s="218"/>
      <c r="K56" s="218"/>
      <c r="L56" s="218"/>
      <c r="M56" s="206"/>
      <c r="N56" s="107"/>
      <c r="O56" s="107"/>
      <c r="P56" s="174"/>
      <c r="Q56" s="107"/>
      <c r="R56" s="107"/>
      <c r="S56" s="152"/>
    </row>
    <row r="57" spans="1:19" ht="15.75">
      <c r="A57" s="13"/>
      <c r="B57" s="290" t="s">
        <v>375</v>
      </c>
      <c r="C57" s="290"/>
      <c r="D57" s="290"/>
      <c r="E57" s="290"/>
      <c r="F57" s="206"/>
      <c r="G57" s="3"/>
      <c r="H57" s="107"/>
      <c r="I57" s="210" t="s">
        <v>372</v>
      </c>
      <c r="J57" s="210"/>
      <c r="K57" s="210"/>
      <c r="L57" s="210"/>
      <c r="M57" s="210"/>
      <c r="N57" s="210"/>
      <c r="O57" s="210"/>
      <c r="P57" s="210"/>
      <c r="Q57" s="210"/>
      <c r="R57" s="107"/>
      <c r="S57" s="152"/>
    </row>
    <row r="58" spans="1:19" ht="15.75">
      <c r="A58" s="146"/>
      <c r="B58" s="212" t="s">
        <v>376</v>
      </c>
      <c r="C58" s="212"/>
      <c r="D58" s="212"/>
      <c r="E58" s="212"/>
      <c r="F58" s="206"/>
      <c r="G58" s="3"/>
      <c r="H58" s="206"/>
      <c r="I58" s="206"/>
      <c r="J58" s="107"/>
      <c r="K58" s="107"/>
      <c r="L58" s="218"/>
      <c r="M58" s="206"/>
      <c r="N58" s="104"/>
      <c r="O58" s="219"/>
      <c r="P58" s="219"/>
      <c r="Q58" s="219"/>
      <c r="R58" s="206"/>
      <c r="S58" s="3"/>
    </row>
    <row r="59" spans="1:19" ht="15.75">
      <c r="A59" s="137"/>
      <c r="B59" s="206"/>
      <c r="C59" s="176"/>
      <c r="D59" s="176"/>
      <c r="E59" s="176"/>
      <c r="F59" s="176"/>
      <c r="G59" s="168"/>
      <c r="H59" s="104"/>
      <c r="I59" s="210" t="s">
        <v>373</v>
      </c>
      <c r="J59" s="210"/>
      <c r="K59" s="210"/>
      <c r="L59" s="210"/>
      <c r="M59" s="210"/>
      <c r="N59" s="210"/>
      <c r="O59" s="210"/>
      <c r="P59" s="210"/>
      <c r="Q59" s="210"/>
      <c r="R59" s="176"/>
      <c r="S59" s="176"/>
    </row>
    <row r="60" spans="1:19" ht="15.75">
      <c r="A60" s="137"/>
      <c r="B60" s="206"/>
      <c r="C60" s="176"/>
      <c r="D60" s="176"/>
      <c r="E60" s="206"/>
      <c r="F60" s="206"/>
      <c r="G60" s="168"/>
      <c r="H60" s="104"/>
      <c r="I60" s="174"/>
      <c r="J60" s="3"/>
      <c r="K60" s="3"/>
      <c r="L60" s="3"/>
      <c r="M60" s="3"/>
      <c r="N60" s="107"/>
      <c r="O60" s="104"/>
      <c r="P60" s="104"/>
      <c r="Q60" s="104"/>
      <c r="R60" s="176"/>
      <c r="S60" s="176"/>
    </row>
    <row r="61" spans="1:19" ht="15.75">
      <c r="A61" s="137"/>
      <c r="B61" s="176"/>
      <c r="C61" s="176"/>
      <c r="D61" s="176"/>
      <c r="E61" s="176"/>
      <c r="F61" s="176"/>
      <c r="G61" s="168"/>
      <c r="H61" s="104"/>
      <c r="I61" s="3"/>
      <c r="J61" s="3"/>
      <c r="K61" s="3"/>
      <c r="L61" s="3"/>
      <c r="M61" s="206"/>
      <c r="N61" s="3"/>
      <c r="O61" s="104"/>
      <c r="P61" s="104"/>
      <c r="Q61" s="104"/>
      <c r="R61" s="176"/>
      <c r="S61" s="176"/>
    </row>
    <row r="62" spans="1:19" ht="15.75">
      <c r="A62" s="137"/>
      <c r="B62" s="176"/>
      <c r="C62" s="176"/>
      <c r="D62" s="176"/>
      <c r="E62" s="176"/>
      <c r="F62" s="176"/>
      <c r="G62" s="168"/>
      <c r="H62" s="104"/>
      <c r="I62" s="220"/>
      <c r="J62" s="104"/>
      <c r="K62" s="104"/>
      <c r="L62" s="104"/>
      <c r="M62" s="104"/>
      <c r="N62" s="104"/>
      <c r="O62" s="104"/>
      <c r="P62" s="104"/>
      <c r="Q62" s="104"/>
      <c r="R62" s="176"/>
      <c r="S62" s="176"/>
    </row>
    <row r="63" spans="1:19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</row>
    <row r="64" spans="1:19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</row>
    <row r="65" spans="1:19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</row>
  </sheetData>
  <mergeCells count="25">
    <mergeCell ref="B57:E57"/>
    <mergeCell ref="A1:B1"/>
    <mergeCell ref="A4:C4"/>
    <mergeCell ref="A7:S7"/>
    <mergeCell ref="A8:A9"/>
    <mergeCell ref="B8:B9"/>
    <mergeCell ref="C8:C9"/>
    <mergeCell ref="D8:D9"/>
    <mergeCell ref="E8:E9"/>
    <mergeCell ref="G8:G9"/>
    <mergeCell ref="H8:H9"/>
    <mergeCell ref="I8:I9"/>
    <mergeCell ref="J8:J9"/>
    <mergeCell ref="K8:K9"/>
    <mergeCell ref="L8:L9"/>
    <mergeCell ref="D4:E4"/>
    <mergeCell ref="F8:F9"/>
    <mergeCell ref="A6:S6"/>
    <mergeCell ref="S8:S9"/>
    <mergeCell ref="N8:N9"/>
    <mergeCell ref="O8:O9"/>
    <mergeCell ref="P8:P9"/>
    <mergeCell ref="Q8:Q9"/>
    <mergeCell ref="R8:R9"/>
    <mergeCell ref="M8:M9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selection activeCell="K27" sqref="K27"/>
    </sheetView>
  </sheetViews>
  <sheetFormatPr defaultRowHeight="15"/>
  <cols>
    <col min="1" max="1" width="3.42578125" customWidth="1"/>
    <col min="2" max="2" width="14.5703125" customWidth="1"/>
    <col min="3" max="3" width="18.42578125" customWidth="1"/>
    <col min="4" max="5" width="7.42578125" customWidth="1"/>
    <col min="6" max="6" width="16.28515625" customWidth="1"/>
    <col min="7" max="7" width="5.85546875" customWidth="1"/>
    <col min="8" max="8" width="6" customWidth="1"/>
    <col min="9" max="9" width="4.42578125" customWidth="1"/>
    <col min="10" max="10" width="6.140625" customWidth="1"/>
    <col min="12" max="12" width="8" customWidth="1"/>
    <col min="13" max="13" width="8.28515625" customWidth="1"/>
    <col min="14" max="14" width="8.140625" customWidth="1"/>
    <col min="15" max="15" width="7.140625" customWidth="1"/>
    <col min="16" max="16" width="7" customWidth="1"/>
    <col min="17" max="18" width="7.85546875" customWidth="1"/>
    <col min="19" max="19" width="8.85546875" customWidth="1"/>
  </cols>
  <sheetData>
    <row r="1" spans="1:19" ht="15.75">
      <c r="A1" s="291" t="s">
        <v>291</v>
      </c>
      <c r="B1" s="291"/>
      <c r="C1" s="104"/>
      <c r="D1" s="261"/>
      <c r="E1" s="261"/>
      <c r="F1" s="104"/>
      <c r="G1" s="168"/>
      <c r="H1" s="104"/>
      <c r="I1" s="104"/>
      <c r="J1" s="105"/>
      <c r="K1" s="105"/>
      <c r="L1" s="106"/>
      <c r="M1" s="107"/>
      <c r="N1" s="107"/>
      <c r="O1" s="107"/>
      <c r="P1" s="107"/>
      <c r="Q1" s="107"/>
      <c r="R1" s="104"/>
      <c r="S1" s="104"/>
    </row>
    <row r="2" spans="1:19" ht="15.75">
      <c r="A2" s="262"/>
      <c r="B2" s="262"/>
      <c r="C2" s="104"/>
      <c r="D2" s="261"/>
      <c r="E2" s="261"/>
      <c r="F2" s="104"/>
      <c r="G2" s="168"/>
      <c r="H2" s="104"/>
      <c r="I2" s="104"/>
      <c r="J2" s="105"/>
      <c r="K2" s="105"/>
      <c r="L2" s="106"/>
      <c r="M2" s="107"/>
      <c r="N2" s="107"/>
      <c r="O2" s="107"/>
      <c r="P2" s="107"/>
      <c r="Q2" s="107"/>
      <c r="R2" s="104"/>
      <c r="S2" s="104"/>
    </row>
    <row r="3" spans="1:19" ht="15.75">
      <c r="A3" s="208" t="s">
        <v>292</v>
      </c>
      <c r="B3" s="208"/>
      <c r="C3" s="208"/>
      <c r="D3" s="263"/>
      <c r="E3" s="263"/>
      <c r="F3" s="263"/>
      <c r="G3" s="263"/>
      <c r="H3" s="263"/>
      <c r="I3" s="263"/>
      <c r="J3" s="263"/>
      <c r="K3" s="263"/>
      <c r="L3" s="263"/>
      <c r="M3" s="107"/>
      <c r="N3" s="107"/>
      <c r="O3" s="107"/>
      <c r="P3" s="107"/>
      <c r="Q3" s="107"/>
      <c r="R3" s="104"/>
      <c r="S3" s="104"/>
    </row>
    <row r="4" spans="1:19" ht="15.75">
      <c r="A4" s="208" t="s">
        <v>293</v>
      </c>
      <c r="B4" s="208"/>
      <c r="C4" s="208"/>
      <c r="D4" s="306" t="s">
        <v>408</v>
      </c>
      <c r="E4" s="306"/>
      <c r="F4" s="306"/>
      <c r="G4" s="260"/>
      <c r="H4" s="260"/>
      <c r="I4" s="260"/>
      <c r="J4" s="260"/>
      <c r="K4" s="260"/>
      <c r="L4" s="260"/>
      <c r="M4" s="107"/>
      <c r="N4" s="107"/>
      <c r="O4" s="107"/>
      <c r="P4" s="107"/>
      <c r="Q4" s="107"/>
      <c r="R4" s="104"/>
      <c r="S4" s="104"/>
    </row>
    <row r="5" spans="1:19" ht="15.75">
      <c r="A5" s="262"/>
      <c r="B5" s="262"/>
      <c r="C5" s="262"/>
      <c r="D5" s="260"/>
      <c r="E5" s="260"/>
      <c r="F5" s="260"/>
      <c r="G5" s="260"/>
      <c r="H5" s="260"/>
      <c r="I5" s="260"/>
      <c r="J5" s="260"/>
      <c r="K5" s="260"/>
      <c r="L5" s="260"/>
      <c r="M5" s="107"/>
      <c r="N5" s="107"/>
      <c r="O5" s="107"/>
      <c r="P5" s="107"/>
      <c r="Q5" s="107"/>
      <c r="R5" s="104"/>
      <c r="S5" s="104"/>
    </row>
    <row r="6" spans="1:19" ht="34.5" customHeight="1">
      <c r="A6" s="284" t="s">
        <v>414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</row>
    <row r="7" spans="1:19" ht="15.75">
      <c r="A7" s="284" t="s">
        <v>295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</row>
    <row r="8" spans="1:19" ht="15" customHeight="1">
      <c r="A8" s="301" t="s">
        <v>296</v>
      </c>
      <c r="B8" s="302" t="s">
        <v>297</v>
      </c>
      <c r="C8" s="303" t="s">
        <v>298</v>
      </c>
      <c r="D8" s="303" t="s">
        <v>299</v>
      </c>
      <c r="E8" s="305" t="s">
        <v>381</v>
      </c>
      <c r="F8" s="303" t="s">
        <v>300</v>
      </c>
      <c r="G8" s="303" t="s">
        <v>301</v>
      </c>
      <c r="H8" s="303" t="s">
        <v>6</v>
      </c>
      <c r="I8" s="303" t="s">
        <v>302</v>
      </c>
      <c r="J8" s="303" t="s">
        <v>303</v>
      </c>
      <c r="K8" s="304" t="s">
        <v>304</v>
      </c>
      <c r="L8" s="303" t="s">
        <v>12</v>
      </c>
      <c r="M8" s="303" t="s">
        <v>14</v>
      </c>
      <c r="N8" s="303" t="s">
        <v>15</v>
      </c>
      <c r="O8" s="309" t="s">
        <v>305</v>
      </c>
      <c r="P8" s="309" t="s">
        <v>306</v>
      </c>
      <c r="Q8" s="309" t="s">
        <v>307</v>
      </c>
      <c r="R8" s="303" t="s">
        <v>28</v>
      </c>
      <c r="S8" s="303" t="s">
        <v>30</v>
      </c>
    </row>
    <row r="9" spans="1:19" ht="63" customHeight="1">
      <c r="A9" s="301"/>
      <c r="B9" s="302"/>
      <c r="C9" s="303"/>
      <c r="D9" s="303"/>
      <c r="E9" s="305"/>
      <c r="F9" s="303"/>
      <c r="G9" s="303"/>
      <c r="H9" s="303"/>
      <c r="I9" s="303"/>
      <c r="J9" s="303"/>
      <c r="K9" s="304"/>
      <c r="L9" s="303"/>
      <c r="M9" s="303"/>
      <c r="N9" s="303"/>
      <c r="O9" s="309"/>
      <c r="P9" s="309"/>
      <c r="Q9" s="309"/>
      <c r="R9" s="303"/>
      <c r="S9" s="303"/>
    </row>
    <row r="10" spans="1:19">
      <c r="A10" s="169"/>
      <c r="B10" s="170">
        <v>1</v>
      </c>
      <c r="C10" s="171">
        <v>2</v>
      </c>
      <c r="D10" s="171">
        <v>3</v>
      </c>
      <c r="E10" s="173">
        <v>15</v>
      </c>
      <c r="F10" s="171"/>
      <c r="G10" s="171">
        <v>4</v>
      </c>
      <c r="H10" s="171">
        <f>G10+1</f>
        <v>5</v>
      </c>
      <c r="I10" s="172">
        <v>6</v>
      </c>
      <c r="J10" s="171">
        <v>7</v>
      </c>
      <c r="K10" s="171">
        <v>8</v>
      </c>
      <c r="L10" s="171">
        <v>9</v>
      </c>
      <c r="M10" s="171">
        <v>10</v>
      </c>
      <c r="N10" s="171">
        <v>11</v>
      </c>
      <c r="O10" s="171">
        <v>12</v>
      </c>
      <c r="P10" s="171">
        <v>13</v>
      </c>
      <c r="Q10" s="171">
        <v>14</v>
      </c>
      <c r="R10" s="171">
        <v>16</v>
      </c>
      <c r="S10" s="171">
        <v>17</v>
      </c>
    </row>
    <row r="11" spans="1:19">
      <c r="A11" s="113">
        <v>1</v>
      </c>
      <c r="B11" s="109" t="s">
        <v>58</v>
      </c>
      <c r="C11" s="110" t="s">
        <v>313</v>
      </c>
      <c r="D11" s="99" t="s">
        <v>191</v>
      </c>
      <c r="E11" s="115" t="s">
        <v>209</v>
      </c>
      <c r="F11" s="110" t="s">
        <v>309</v>
      </c>
      <c r="G11" s="167" t="s">
        <v>248</v>
      </c>
      <c r="H11" s="48">
        <v>17697</v>
      </c>
      <c r="I11" s="114">
        <v>2</v>
      </c>
      <c r="J11" s="111">
        <v>5.24</v>
      </c>
      <c r="K11" s="47">
        <v>1.25</v>
      </c>
      <c r="L11" s="48">
        <f t="shared" ref="L11:L17" si="0">(J11*H11)/18*I11*K11</f>
        <v>12879.483333333334</v>
      </c>
      <c r="M11" s="48">
        <f t="shared" ref="M11:M17" si="1">(L11)*25%</f>
        <v>3219.8708333333334</v>
      </c>
      <c r="N11" s="48">
        <f t="shared" ref="N11:N18" si="2">SUM(M11+L11)</f>
        <v>16099.354166666668</v>
      </c>
      <c r="O11" s="48">
        <f>N11*40%</f>
        <v>6439.7416666666677</v>
      </c>
      <c r="P11" s="48"/>
      <c r="Q11" s="48"/>
      <c r="R11" s="48">
        <f t="shared" ref="R11:R18" si="3">O11+P11+Q11</f>
        <v>6439.7416666666677</v>
      </c>
      <c r="S11" s="112">
        <f t="shared" ref="S11:S18" si="4">R11*12</f>
        <v>77276.900000000009</v>
      </c>
    </row>
    <row r="12" spans="1:19">
      <c r="A12" s="113">
        <v>2</v>
      </c>
      <c r="B12" s="109" t="s">
        <v>57</v>
      </c>
      <c r="C12" s="110" t="s">
        <v>127</v>
      </c>
      <c r="D12" s="99" t="s">
        <v>191</v>
      </c>
      <c r="E12" s="115" t="s">
        <v>208</v>
      </c>
      <c r="F12" s="110" t="s">
        <v>322</v>
      </c>
      <c r="G12" s="167" t="s">
        <v>249</v>
      </c>
      <c r="H12" s="48">
        <v>17697</v>
      </c>
      <c r="I12" s="114">
        <v>2</v>
      </c>
      <c r="J12" s="111">
        <v>4.74</v>
      </c>
      <c r="K12" s="47">
        <v>1.25</v>
      </c>
      <c r="L12" s="48">
        <f t="shared" si="0"/>
        <v>11650.525</v>
      </c>
      <c r="M12" s="48">
        <f t="shared" si="1"/>
        <v>2912.6312499999999</v>
      </c>
      <c r="N12" s="48">
        <f t="shared" si="2"/>
        <v>14563.15625</v>
      </c>
      <c r="O12" s="48"/>
      <c r="P12" s="48"/>
      <c r="Q12" s="48">
        <f t="shared" ref="Q12:Q14" si="5">N12*30%</f>
        <v>4368.9468749999996</v>
      </c>
      <c r="R12" s="48">
        <f t="shared" si="3"/>
        <v>4368.9468749999996</v>
      </c>
      <c r="S12" s="112">
        <f t="shared" si="4"/>
        <v>52427.362499999996</v>
      </c>
    </row>
    <row r="13" spans="1:19">
      <c r="A13" s="113">
        <v>3</v>
      </c>
      <c r="B13" s="109" t="s">
        <v>63</v>
      </c>
      <c r="C13" s="110" t="s">
        <v>317</v>
      </c>
      <c r="D13" s="99" t="s">
        <v>191</v>
      </c>
      <c r="E13" s="115" t="s">
        <v>214</v>
      </c>
      <c r="F13" s="110" t="s">
        <v>322</v>
      </c>
      <c r="G13" s="167" t="s">
        <v>249</v>
      </c>
      <c r="H13" s="48">
        <v>17697</v>
      </c>
      <c r="I13" s="114">
        <v>2</v>
      </c>
      <c r="J13" s="111">
        <v>4.8099999999999996</v>
      </c>
      <c r="K13" s="47">
        <v>1.25</v>
      </c>
      <c r="L13" s="48">
        <f t="shared" si="0"/>
        <v>11822.579166666665</v>
      </c>
      <c r="M13" s="48">
        <f t="shared" si="1"/>
        <v>2955.6447916666662</v>
      </c>
      <c r="N13" s="48">
        <f t="shared" si="2"/>
        <v>14778.22395833333</v>
      </c>
      <c r="O13" s="48"/>
      <c r="P13" s="48"/>
      <c r="Q13" s="48">
        <f t="shared" si="5"/>
        <v>4433.4671874999985</v>
      </c>
      <c r="R13" s="48">
        <f t="shared" si="3"/>
        <v>4433.4671874999985</v>
      </c>
      <c r="S13" s="112">
        <f t="shared" si="4"/>
        <v>53201.606249999983</v>
      </c>
    </row>
    <row r="14" spans="1:19">
      <c r="A14" s="113">
        <v>4</v>
      </c>
      <c r="B14" s="110" t="s">
        <v>73</v>
      </c>
      <c r="C14" s="110" t="s">
        <v>119</v>
      </c>
      <c r="D14" s="99" t="s">
        <v>191</v>
      </c>
      <c r="E14" s="115" t="s">
        <v>196</v>
      </c>
      <c r="F14" s="110" t="s">
        <v>322</v>
      </c>
      <c r="G14" s="167" t="s">
        <v>249</v>
      </c>
      <c r="H14" s="48">
        <v>17697</v>
      </c>
      <c r="I14" s="114">
        <v>1</v>
      </c>
      <c r="J14" s="111">
        <v>5.16</v>
      </c>
      <c r="K14" s="47">
        <v>1.25</v>
      </c>
      <c r="L14" s="48">
        <f t="shared" si="0"/>
        <v>6341.4250000000002</v>
      </c>
      <c r="M14" s="48">
        <f t="shared" si="1"/>
        <v>1585.35625</v>
      </c>
      <c r="N14" s="48">
        <f t="shared" si="2"/>
        <v>7926.78125</v>
      </c>
      <c r="O14" s="48"/>
      <c r="P14" s="48"/>
      <c r="Q14" s="48">
        <f t="shared" si="5"/>
        <v>2378.0343749999997</v>
      </c>
      <c r="R14" s="48">
        <f t="shared" si="3"/>
        <v>2378.0343749999997</v>
      </c>
      <c r="S14" s="112">
        <f t="shared" si="4"/>
        <v>28536.412499999999</v>
      </c>
    </row>
    <row r="15" spans="1:19">
      <c r="A15" s="113">
        <v>5</v>
      </c>
      <c r="B15" s="110" t="s">
        <v>56</v>
      </c>
      <c r="C15" s="110" t="s">
        <v>308</v>
      </c>
      <c r="D15" s="99" t="s">
        <v>191</v>
      </c>
      <c r="E15" s="115" t="s">
        <v>207</v>
      </c>
      <c r="F15" s="110" t="s">
        <v>322</v>
      </c>
      <c r="G15" s="47" t="s">
        <v>249</v>
      </c>
      <c r="H15" s="48">
        <v>17697</v>
      </c>
      <c r="I15" s="114">
        <v>2</v>
      </c>
      <c r="J15" s="227">
        <v>4.99</v>
      </c>
      <c r="K15" s="47">
        <v>1.25</v>
      </c>
      <c r="L15" s="48">
        <f t="shared" si="0"/>
        <v>12265.004166666668</v>
      </c>
      <c r="M15" s="48">
        <f t="shared" si="1"/>
        <v>3066.2510416666669</v>
      </c>
      <c r="N15" s="48">
        <f t="shared" si="2"/>
        <v>15331.255208333334</v>
      </c>
      <c r="O15" s="48"/>
      <c r="P15" s="48"/>
      <c r="Q15" s="48">
        <f>N15*30%</f>
        <v>4599.3765624999996</v>
      </c>
      <c r="R15" s="48">
        <f t="shared" si="3"/>
        <v>4599.3765624999996</v>
      </c>
      <c r="S15" s="112">
        <f t="shared" si="4"/>
        <v>55192.518749999996</v>
      </c>
    </row>
    <row r="16" spans="1:19">
      <c r="A16" s="113">
        <v>6</v>
      </c>
      <c r="B16" s="110" t="s">
        <v>324</v>
      </c>
      <c r="C16" s="110" t="s">
        <v>311</v>
      </c>
      <c r="D16" s="99" t="s">
        <v>191</v>
      </c>
      <c r="E16" s="115" t="s">
        <v>203</v>
      </c>
      <c r="F16" s="110" t="s">
        <v>322</v>
      </c>
      <c r="G16" s="47" t="s">
        <v>249</v>
      </c>
      <c r="H16" s="48">
        <v>17697</v>
      </c>
      <c r="I16" s="114">
        <v>2</v>
      </c>
      <c r="J16" s="227">
        <v>4.66</v>
      </c>
      <c r="K16" s="47">
        <v>1.25</v>
      </c>
      <c r="L16" s="48">
        <f t="shared" si="0"/>
        <v>11453.891666666668</v>
      </c>
      <c r="M16" s="48">
        <f t="shared" si="1"/>
        <v>2863.4729166666671</v>
      </c>
      <c r="N16" s="48">
        <f t="shared" si="2"/>
        <v>14317.364583333336</v>
      </c>
      <c r="O16" s="48"/>
      <c r="P16" s="48"/>
      <c r="Q16" s="48">
        <f t="shared" ref="Q16" si="6">N16*30%</f>
        <v>4295.2093750000004</v>
      </c>
      <c r="R16" s="48">
        <f t="shared" si="3"/>
        <v>4295.2093750000004</v>
      </c>
      <c r="S16" s="112">
        <f t="shared" si="4"/>
        <v>51542.512500000004</v>
      </c>
    </row>
    <row r="17" spans="1:19" ht="15.75" customHeight="1">
      <c r="A17" s="113">
        <v>7</v>
      </c>
      <c r="B17" s="123" t="s">
        <v>91</v>
      </c>
      <c r="C17" s="124" t="s">
        <v>326</v>
      </c>
      <c r="D17" s="99" t="s">
        <v>191</v>
      </c>
      <c r="E17" s="115" t="s">
        <v>231</v>
      </c>
      <c r="F17" s="110" t="s">
        <v>314</v>
      </c>
      <c r="G17" s="47" t="s">
        <v>247</v>
      </c>
      <c r="H17" s="48">
        <v>17697</v>
      </c>
      <c r="I17" s="114">
        <v>1</v>
      </c>
      <c r="J17" s="125">
        <v>5.2</v>
      </c>
      <c r="K17" s="47">
        <v>1.25</v>
      </c>
      <c r="L17" s="48">
        <f t="shared" si="0"/>
        <v>6390.5833333333339</v>
      </c>
      <c r="M17" s="48">
        <f t="shared" si="1"/>
        <v>1597.6458333333335</v>
      </c>
      <c r="N17" s="48">
        <f t="shared" si="2"/>
        <v>7988.2291666666679</v>
      </c>
      <c r="O17" s="48"/>
      <c r="P17" s="48">
        <f t="shared" ref="P17" si="7">N17*35%</f>
        <v>2795.8802083333335</v>
      </c>
      <c r="Q17" s="48"/>
      <c r="R17" s="48">
        <f t="shared" si="3"/>
        <v>2795.8802083333335</v>
      </c>
      <c r="S17" s="112">
        <f t="shared" si="4"/>
        <v>33550.5625</v>
      </c>
    </row>
    <row r="18" spans="1:19">
      <c r="A18" s="113"/>
      <c r="B18" s="128" t="s">
        <v>42</v>
      </c>
      <c r="C18" s="129"/>
      <c r="D18" s="129" t="s">
        <v>43</v>
      </c>
      <c r="E18" s="133" t="s">
        <v>43</v>
      </c>
      <c r="F18" s="129"/>
      <c r="G18" s="116" t="s">
        <v>43</v>
      </c>
      <c r="H18" s="129" t="s">
        <v>43</v>
      </c>
      <c r="I18" s="130">
        <f>SUM(I11:I17)</f>
        <v>12</v>
      </c>
      <c r="J18" s="101" t="s">
        <v>43</v>
      </c>
      <c r="K18" s="101" t="s">
        <v>43</v>
      </c>
      <c r="L18" s="131">
        <f>SUM(L11:L17)</f>
        <v>72803.491666666654</v>
      </c>
      <c r="M18" s="131">
        <f>SUM(M11:M17)</f>
        <v>18200.872916666664</v>
      </c>
      <c r="N18" s="131">
        <f t="shared" si="2"/>
        <v>91004.364583333314</v>
      </c>
      <c r="O18" s="132">
        <f>SUM(O11:O17)</f>
        <v>6439.7416666666677</v>
      </c>
      <c r="P18" s="132">
        <f>SUM(P11:P17)</f>
        <v>2795.8802083333335</v>
      </c>
      <c r="Q18" s="132">
        <f>SUM(Q11:Q17)</f>
        <v>20075.034374999996</v>
      </c>
      <c r="R18" s="134">
        <f t="shared" si="3"/>
        <v>29310.656249999996</v>
      </c>
      <c r="S18" s="134">
        <f t="shared" si="4"/>
        <v>351727.87499999994</v>
      </c>
    </row>
    <row r="19" spans="1:19" ht="15.75">
      <c r="B19" s="135"/>
      <c r="C19" s="135"/>
      <c r="D19" s="107"/>
      <c r="E19" s="107"/>
      <c r="F19" s="136"/>
      <c r="G19" s="135"/>
      <c r="H19" s="136"/>
      <c r="I19" s="135"/>
      <c r="L19" s="135"/>
      <c r="M19" s="135"/>
      <c r="N19" s="136"/>
      <c r="O19" s="136"/>
      <c r="P19" s="135"/>
      <c r="Q19" s="135"/>
      <c r="R19" s="135"/>
      <c r="S19" s="135"/>
    </row>
    <row r="20" spans="1:19" ht="15.75">
      <c r="A20" s="1"/>
      <c r="B20" s="206" t="s">
        <v>327</v>
      </c>
      <c r="C20" s="206"/>
      <c r="D20" s="107"/>
      <c r="E20" s="107"/>
      <c r="F20" s="206" t="s">
        <v>328</v>
      </c>
      <c r="G20" s="206"/>
      <c r="H20" s="107"/>
      <c r="I20" s="308" t="s">
        <v>383</v>
      </c>
      <c r="J20" s="308"/>
      <c r="K20" s="308"/>
      <c r="L20" s="308"/>
      <c r="M20" s="308"/>
      <c r="N20" s="308"/>
      <c r="O20" s="308"/>
      <c r="P20" s="308"/>
      <c r="Q20" s="308"/>
      <c r="R20" s="308"/>
      <c r="S20" s="143"/>
    </row>
    <row r="21" spans="1:19" ht="15.75">
      <c r="A21" s="143"/>
      <c r="B21" s="206"/>
      <c r="C21" s="104"/>
      <c r="D21" s="206"/>
      <c r="E21" s="206"/>
      <c r="F21" s="206"/>
      <c r="G21" s="104"/>
      <c r="H21" s="206"/>
      <c r="I21" s="206"/>
      <c r="J21" s="206"/>
      <c r="K21" s="206"/>
      <c r="L21" s="206"/>
      <c r="M21" s="206"/>
      <c r="N21" s="206"/>
      <c r="O21" s="206"/>
      <c r="P21" s="141"/>
      <c r="Q21" s="217"/>
      <c r="R21" s="217"/>
      <c r="S21" s="143"/>
    </row>
    <row r="22" spans="1:19" ht="15.75">
      <c r="A22" s="1"/>
      <c r="B22" s="308" t="s">
        <v>364</v>
      </c>
      <c r="C22" s="308"/>
      <c r="D22" s="107"/>
      <c r="E22" s="107"/>
      <c r="F22" s="206" t="s">
        <v>329</v>
      </c>
      <c r="G22" s="104"/>
      <c r="H22" s="107"/>
      <c r="I22" s="210" t="s">
        <v>382</v>
      </c>
      <c r="J22" s="210"/>
      <c r="K22" s="210"/>
      <c r="L22" s="210"/>
      <c r="M22" s="210"/>
      <c r="N22" s="210"/>
      <c r="O22" s="210"/>
      <c r="P22" s="210"/>
      <c r="Q22" s="210"/>
      <c r="R22" s="210"/>
      <c r="S22" s="143"/>
    </row>
    <row r="23" spans="1:19" ht="15.75">
      <c r="A23" s="1"/>
      <c r="B23" s="3"/>
      <c r="C23" s="3"/>
      <c r="D23" s="104"/>
      <c r="E23" s="104"/>
      <c r="F23" s="206"/>
      <c r="G23" s="3"/>
      <c r="H23" s="107"/>
      <c r="I23" s="174"/>
      <c r="J23" s="218"/>
      <c r="K23" s="218"/>
      <c r="L23" s="174"/>
      <c r="M23" s="3"/>
      <c r="N23" s="218"/>
      <c r="O23" s="218"/>
      <c r="P23" s="144"/>
      <c r="Q23" s="217"/>
      <c r="R23" s="217"/>
      <c r="S23" s="143"/>
    </row>
    <row r="24" spans="1:19" ht="15.75">
      <c r="A24" s="13"/>
      <c r="B24" s="3"/>
      <c r="C24" s="3"/>
      <c r="D24" s="206"/>
      <c r="E24" s="206"/>
      <c r="F24" s="206"/>
      <c r="G24" s="3"/>
      <c r="H24" s="107"/>
      <c r="I24" s="308" t="s">
        <v>357</v>
      </c>
      <c r="J24" s="308"/>
      <c r="K24" s="308"/>
      <c r="L24" s="308"/>
      <c r="M24" s="308"/>
      <c r="N24" s="308"/>
      <c r="O24" s="308"/>
      <c r="P24" s="308"/>
      <c r="Q24" s="308"/>
      <c r="R24" s="308"/>
      <c r="S24" s="308"/>
    </row>
    <row r="25" spans="1:19" ht="15.75">
      <c r="A25" s="13"/>
      <c r="B25" s="308" t="s">
        <v>386</v>
      </c>
      <c r="C25" s="308"/>
      <c r="D25" s="308"/>
      <c r="E25" s="308"/>
      <c r="F25" s="308"/>
      <c r="G25" s="3"/>
      <c r="H25" s="107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143"/>
    </row>
    <row r="26" spans="1:19" ht="15.75">
      <c r="A26" s="146"/>
      <c r="B26" s="307" t="s">
        <v>387</v>
      </c>
      <c r="C26" s="307"/>
      <c r="D26" s="307"/>
      <c r="E26" s="307"/>
      <c r="F26" s="307"/>
      <c r="G26" s="3"/>
      <c r="H26" s="206"/>
      <c r="I26" s="308" t="s">
        <v>384</v>
      </c>
      <c r="J26" s="308"/>
      <c r="K26" s="308"/>
      <c r="L26" s="308"/>
      <c r="M26" s="308"/>
      <c r="N26" s="308"/>
      <c r="O26" s="308"/>
      <c r="P26" s="308"/>
      <c r="Q26" s="308"/>
      <c r="R26" s="308"/>
      <c r="S26" s="308"/>
    </row>
    <row r="27" spans="1:19" ht="15.75">
      <c r="A27" s="137"/>
      <c r="B27" s="308" t="s">
        <v>388</v>
      </c>
      <c r="C27" s="308"/>
      <c r="D27" s="308"/>
      <c r="E27" s="308"/>
      <c r="F27" s="308"/>
      <c r="G27" s="168"/>
      <c r="H27" s="104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13"/>
    </row>
    <row r="28" spans="1:19" ht="15.75">
      <c r="A28" s="137"/>
      <c r="B28" s="206"/>
      <c r="C28" s="176"/>
      <c r="D28" s="176"/>
      <c r="E28" s="176"/>
      <c r="F28" s="206"/>
      <c r="G28" s="168"/>
      <c r="H28" s="104"/>
      <c r="I28" s="307" t="s">
        <v>385</v>
      </c>
      <c r="J28" s="307"/>
      <c r="K28" s="307"/>
      <c r="L28" s="307"/>
      <c r="M28" s="307"/>
      <c r="N28" s="307"/>
      <c r="O28" s="307"/>
      <c r="P28" s="307"/>
      <c r="Q28" s="307"/>
      <c r="R28" s="307"/>
      <c r="S28" s="13"/>
    </row>
    <row r="29" spans="1:19">
      <c r="A29" s="137"/>
      <c r="B29" s="13"/>
      <c r="C29" s="13"/>
      <c r="D29" s="13"/>
      <c r="E29" s="13"/>
      <c r="F29" s="13"/>
      <c r="G29" s="138"/>
      <c r="H29" s="137"/>
      <c r="I29" s="1"/>
      <c r="J29" s="1"/>
      <c r="K29" s="1"/>
      <c r="L29" s="1"/>
      <c r="M29" s="141"/>
      <c r="N29" s="1"/>
      <c r="O29" s="137"/>
      <c r="P29" s="137"/>
      <c r="Q29" s="137"/>
      <c r="R29" s="13"/>
      <c r="S29" s="13"/>
    </row>
    <row r="30" spans="1:19">
      <c r="A30" s="137"/>
      <c r="B30" s="13"/>
      <c r="C30" s="13"/>
      <c r="D30" s="13"/>
      <c r="E30" s="13"/>
      <c r="F30" s="13"/>
      <c r="G30" s="138"/>
      <c r="H30" s="137"/>
      <c r="I30" s="139"/>
      <c r="J30" s="137"/>
      <c r="K30" s="137"/>
      <c r="L30" s="137"/>
      <c r="M30" s="137"/>
      <c r="N30" s="137"/>
      <c r="O30" s="137"/>
      <c r="P30" s="137"/>
      <c r="Q30" s="137"/>
      <c r="R30" s="13"/>
      <c r="S30" s="13"/>
    </row>
    <row r="31" spans="1:19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</row>
    <row r="32" spans="1:19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</row>
    <row r="33" spans="1:19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</row>
  </sheetData>
  <mergeCells count="31">
    <mergeCell ref="D4:F4"/>
    <mergeCell ref="I28:R28"/>
    <mergeCell ref="B25:F25"/>
    <mergeCell ref="B26:F26"/>
    <mergeCell ref="B27:F27"/>
    <mergeCell ref="I24:S24"/>
    <mergeCell ref="I26:S26"/>
    <mergeCell ref="B22:C22"/>
    <mergeCell ref="I20:R20"/>
    <mergeCell ref="N8:N9"/>
    <mergeCell ref="O8:O9"/>
    <mergeCell ref="P8:P9"/>
    <mergeCell ref="Q8:Q9"/>
    <mergeCell ref="R8:R9"/>
    <mergeCell ref="M8:M9"/>
    <mergeCell ref="A1:B1"/>
    <mergeCell ref="A7:S7"/>
    <mergeCell ref="A8:A9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L8:L9"/>
    <mergeCell ref="E8:E9"/>
    <mergeCell ref="A6:S6"/>
    <mergeCell ref="S8:S9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B145"/>
  <sheetViews>
    <sheetView tabSelected="1" topLeftCell="A49" workbookViewId="0">
      <selection activeCell="A78" sqref="A78"/>
    </sheetView>
  </sheetViews>
  <sheetFormatPr defaultRowHeight="15"/>
  <cols>
    <col min="1" max="1" width="3.7109375" customWidth="1"/>
    <col min="2" max="2" width="16.28515625" customWidth="1"/>
    <col min="3" max="3" width="22" customWidth="1"/>
    <col min="4" max="4" width="7.42578125" customWidth="1"/>
    <col min="5" max="5" width="6.140625" customWidth="1"/>
    <col min="6" max="6" width="10.85546875" customWidth="1"/>
    <col min="7" max="7" width="7.140625" customWidth="1"/>
    <col min="8" max="8" width="5" customWidth="1"/>
    <col min="9" max="9" width="6.140625" customWidth="1"/>
    <col min="10" max="10" width="4.5703125" customWidth="1"/>
    <col min="11" max="12" width="4.85546875" customWidth="1"/>
    <col min="13" max="13" width="7" customWidth="1"/>
    <col min="14" max="15" width="8" customWidth="1"/>
    <col min="16" max="16" width="9.7109375" customWidth="1"/>
    <col min="17" max="17" width="8.42578125" customWidth="1"/>
    <col min="18" max="18" width="9" customWidth="1"/>
    <col min="19" max="19" width="5.28515625" customWidth="1"/>
    <col min="20" max="20" width="6" customWidth="1"/>
    <col min="21" max="21" width="5.140625" customWidth="1"/>
    <col min="22" max="22" width="5.28515625" customWidth="1"/>
    <col min="23" max="23" width="7.7109375" customWidth="1"/>
    <col min="24" max="24" width="5.7109375" customWidth="1"/>
    <col min="25" max="25" width="6.28515625" customWidth="1"/>
    <col min="26" max="26" width="5" customWidth="1"/>
    <col min="27" max="27" width="6.7109375" customWidth="1"/>
    <col min="28" max="28" width="4.5703125" customWidth="1"/>
    <col min="29" max="29" width="7.85546875" customWidth="1"/>
    <col min="30" max="30" width="5" customWidth="1"/>
    <col min="31" max="31" width="7.85546875" customWidth="1"/>
    <col min="32" max="32" width="5.42578125" customWidth="1"/>
    <col min="33" max="33" width="7.85546875" customWidth="1"/>
    <col min="34" max="34" width="4.42578125" customWidth="1"/>
    <col min="35" max="35" width="6.85546875" customWidth="1"/>
    <col min="36" max="36" width="4.140625" customWidth="1"/>
    <col min="37" max="37" width="7.42578125" customWidth="1"/>
    <col min="38" max="38" width="5.85546875" customWidth="1"/>
    <col min="39" max="41" width="7.42578125" customWidth="1"/>
    <col min="42" max="42" width="6" customWidth="1"/>
    <col min="43" max="43" width="5.42578125" customWidth="1"/>
    <col min="44" max="44" width="5.85546875" customWidth="1"/>
    <col min="45" max="46" width="5.140625" customWidth="1"/>
    <col min="47" max="47" width="7.5703125" customWidth="1"/>
    <col min="48" max="48" width="4.140625" customWidth="1"/>
    <col min="49" max="49" width="6.7109375" customWidth="1"/>
    <col min="50" max="50" width="8.42578125" customWidth="1"/>
    <col min="51" max="51" width="8.85546875" customWidth="1"/>
    <col min="52" max="52" width="11.140625" customWidth="1"/>
    <col min="53" max="53" width="7.85546875" customWidth="1"/>
    <col min="54" max="54" width="7" customWidth="1"/>
    <col min="259" max="259" width="3" customWidth="1"/>
    <col min="260" max="264" width="22" customWidth="1"/>
    <col min="265" max="265" width="7.140625" customWidth="1"/>
    <col min="266" max="267" width="6.140625" customWidth="1"/>
    <col min="268" max="271" width="6.85546875" customWidth="1"/>
    <col min="272" max="273" width="8" customWidth="1"/>
    <col min="274" max="274" width="9.7109375" customWidth="1"/>
    <col min="275" max="275" width="8.42578125" customWidth="1"/>
    <col min="276" max="276" width="9" customWidth="1"/>
    <col min="277" max="277" width="5.28515625" customWidth="1"/>
    <col min="278" max="278" width="6" customWidth="1"/>
    <col min="279" max="279" width="5.140625" customWidth="1"/>
    <col min="280" max="280" width="5.28515625" customWidth="1"/>
    <col min="281" max="281" width="7.7109375" customWidth="1"/>
    <col min="282" max="282" width="4.85546875" customWidth="1"/>
    <col min="283" max="283" width="6.28515625" customWidth="1"/>
    <col min="284" max="284" width="5" customWidth="1"/>
    <col min="285" max="285" width="6.7109375" customWidth="1"/>
    <col min="286" max="286" width="4.5703125" customWidth="1"/>
    <col min="287" max="287" width="7.85546875" customWidth="1"/>
    <col min="288" max="288" width="5" customWidth="1"/>
    <col min="289" max="289" width="7.85546875" customWidth="1"/>
    <col min="290" max="290" width="4.42578125" customWidth="1"/>
    <col min="291" max="291" width="6.85546875" customWidth="1"/>
    <col min="292" max="292" width="4.140625" customWidth="1"/>
    <col min="293" max="299" width="7.42578125" customWidth="1"/>
    <col min="300" max="300" width="5.140625" customWidth="1"/>
    <col min="301" max="301" width="7.5703125" customWidth="1"/>
    <col min="302" max="302" width="4.140625" customWidth="1"/>
    <col min="303" max="303" width="6.7109375" customWidth="1"/>
    <col min="304" max="304" width="8.42578125" customWidth="1"/>
    <col min="305" max="305" width="10.140625" customWidth="1"/>
    <col min="306" max="306" width="14" customWidth="1"/>
    <col min="307" max="307" width="11.140625" customWidth="1"/>
    <col min="308" max="309" width="11.42578125" customWidth="1"/>
    <col min="515" max="515" width="3" customWidth="1"/>
    <col min="516" max="520" width="22" customWidth="1"/>
    <col min="521" max="521" width="7.140625" customWidth="1"/>
    <col min="522" max="523" width="6.140625" customWidth="1"/>
    <col min="524" max="527" width="6.85546875" customWidth="1"/>
    <col min="528" max="529" width="8" customWidth="1"/>
    <col min="530" max="530" width="9.7109375" customWidth="1"/>
    <col min="531" max="531" width="8.42578125" customWidth="1"/>
    <col min="532" max="532" width="9" customWidth="1"/>
    <col min="533" max="533" width="5.28515625" customWidth="1"/>
    <col min="534" max="534" width="6" customWidth="1"/>
    <col min="535" max="535" width="5.140625" customWidth="1"/>
    <col min="536" max="536" width="5.28515625" customWidth="1"/>
    <col min="537" max="537" width="7.7109375" customWidth="1"/>
    <col min="538" max="538" width="4.85546875" customWidth="1"/>
    <col min="539" max="539" width="6.28515625" customWidth="1"/>
    <col min="540" max="540" width="5" customWidth="1"/>
    <col min="541" max="541" width="6.7109375" customWidth="1"/>
    <col min="542" max="542" width="4.5703125" customWidth="1"/>
    <col min="543" max="543" width="7.85546875" customWidth="1"/>
    <col min="544" max="544" width="5" customWidth="1"/>
    <col min="545" max="545" width="7.85546875" customWidth="1"/>
    <col min="546" max="546" width="4.42578125" customWidth="1"/>
    <col min="547" max="547" width="6.85546875" customWidth="1"/>
    <col min="548" max="548" width="4.140625" customWidth="1"/>
    <col min="549" max="555" width="7.42578125" customWidth="1"/>
    <col min="556" max="556" width="5.140625" customWidth="1"/>
    <col min="557" max="557" width="7.5703125" customWidth="1"/>
    <col min="558" max="558" width="4.140625" customWidth="1"/>
    <col min="559" max="559" width="6.7109375" customWidth="1"/>
    <col min="560" max="560" width="8.42578125" customWidth="1"/>
    <col min="561" max="561" width="10.140625" customWidth="1"/>
    <col min="562" max="562" width="14" customWidth="1"/>
    <col min="563" max="563" width="11.140625" customWidth="1"/>
    <col min="564" max="565" width="11.42578125" customWidth="1"/>
    <col min="771" max="771" width="3" customWidth="1"/>
    <col min="772" max="776" width="22" customWidth="1"/>
    <col min="777" max="777" width="7.140625" customWidth="1"/>
    <col min="778" max="779" width="6.140625" customWidth="1"/>
    <col min="780" max="783" width="6.85546875" customWidth="1"/>
    <col min="784" max="785" width="8" customWidth="1"/>
    <col min="786" max="786" width="9.7109375" customWidth="1"/>
    <col min="787" max="787" width="8.42578125" customWidth="1"/>
    <col min="788" max="788" width="9" customWidth="1"/>
    <col min="789" max="789" width="5.28515625" customWidth="1"/>
    <col min="790" max="790" width="6" customWidth="1"/>
    <col min="791" max="791" width="5.140625" customWidth="1"/>
    <col min="792" max="792" width="5.28515625" customWidth="1"/>
    <col min="793" max="793" width="7.7109375" customWidth="1"/>
    <col min="794" max="794" width="4.85546875" customWidth="1"/>
    <col min="795" max="795" width="6.28515625" customWidth="1"/>
    <col min="796" max="796" width="5" customWidth="1"/>
    <col min="797" max="797" width="6.7109375" customWidth="1"/>
    <col min="798" max="798" width="4.5703125" customWidth="1"/>
    <col min="799" max="799" width="7.85546875" customWidth="1"/>
    <col min="800" max="800" width="5" customWidth="1"/>
    <col min="801" max="801" width="7.85546875" customWidth="1"/>
    <col min="802" max="802" width="4.42578125" customWidth="1"/>
    <col min="803" max="803" width="6.85546875" customWidth="1"/>
    <col min="804" max="804" width="4.140625" customWidth="1"/>
    <col min="805" max="811" width="7.42578125" customWidth="1"/>
    <col min="812" max="812" width="5.140625" customWidth="1"/>
    <col min="813" max="813" width="7.5703125" customWidth="1"/>
    <col min="814" max="814" width="4.140625" customWidth="1"/>
    <col min="815" max="815" width="6.7109375" customWidth="1"/>
    <col min="816" max="816" width="8.42578125" customWidth="1"/>
    <col min="817" max="817" width="10.140625" customWidth="1"/>
    <col min="818" max="818" width="14" customWidth="1"/>
    <col min="819" max="819" width="11.140625" customWidth="1"/>
    <col min="820" max="821" width="11.42578125" customWidth="1"/>
    <col min="1027" max="1027" width="3" customWidth="1"/>
    <col min="1028" max="1032" width="22" customWidth="1"/>
    <col min="1033" max="1033" width="7.140625" customWidth="1"/>
    <col min="1034" max="1035" width="6.140625" customWidth="1"/>
    <col min="1036" max="1039" width="6.85546875" customWidth="1"/>
    <col min="1040" max="1041" width="8" customWidth="1"/>
    <col min="1042" max="1042" width="9.7109375" customWidth="1"/>
    <col min="1043" max="1043" width="8.42578125" customWidth="1"/>
    <col min="1044" max="1044" width="9" customWidth="1"/>
    <col min="1045" max="1045" width="5.28515625" customWidth="1"/>
    <col min="1046" max="1046" width="6" customWidth="1"/>
    <col min="1047" max="1047" width="5.140625" customWidth="1"/>
    <col min="1048" max="1048" width="5.28515625" customWidth="1"/>
    <col min="1049" max="1049" width="7.7109375" customWidth="1"/>
    <col min="1050" max="1050" width="4.85546875" customWidth="1"/>
    <col min="1051" max="1051" width="6.28515625" customWidth="1"/>
    <col min="1052" max="1052" width="5" customWidth="1"/>
    <col min="1053" max="1053" width="6.7109375" customWidth="1"/>
    <col min="1054" max="1054" width="4.5703125" customWidth="1"/>
    <col min="1055" max="1055" width="7.85546875" customWidth="1"/>
    <col min="1056" max="1056" width="5" customWidth="1"/>
    <col min="1057" max="1057" width="7.85546875" customWidth="1"/>
    <col min="1058" max="1058" width="4.42578125" customWidth="1"/>
    <col min="1059" max="1059" width="6.85546875" customWidth="1"/>
    <col min="1060" max="1060" width="4.140625" customWidth="1"/>
    <col min="1061" max="1067" width="7.42578125" customWidth="1"/>
    <col min="1068" max="1068" width="5.140625" customWidth="1"/>
    <col min="1069" max="1069" width="7.5703125" customWidth="1"/>
    <col min="1070" max="1070" width="4.140625" customWidth="1"/>
    <col min="1071" max="1071" width="6.7109375" customWidth="1"/>
    <col min="1072" max="1072" width="8.42578125" customWidth="1"/>
    <col min="1073" max="1073" width="10.140625" customWidth="1"/>
    <col min="1074" max="1074" width="14" customWidth="1"/>
    <col min="1075" max="1075" width="11.140625" customWidth="1"/>
    <col min="1076" max="1077" width="11.42578125" customWidth="1"/>
    <col min="1283" max="1283" width="3" customWidth="1"/>
    <col min="1284" max="1288" width="22" customWidth="1"/>
    <col min="1289" max="1289" width="7.140625" customWidth="1"/>
    <col min="1290" max="1291" width="6.140625" customWidth="1"/>
    <col min="1292" max="1295" width="6.85546875" customWidth="1"/>
    <col min="1296" max="1297" width="8" customWidth="1"/>
    <col min="1298" max="1298" width="9.7109375" customWidth="1"/>
    <col min="1299" max="1299" width="8.42578125" customWidth="1"/>
    <col min="1300" max="1300" width="9" customWidth="1"/>
    <col min="1301" max="1301" width="5.28515625" customWidth="1"/>
    <col min="1302" max="1302" width="6" customWidth="1"/>
    <col min="1303" max="1303" width="5.140625" customWidth="1"/>
    <col min="1304" max="1304" width="5.28515625" customWidth="1"/>
    <col min="1305" max="1305" width="7.7109375" customWidth="1"/>
    <col min="1306" max="1306" width="4.85546875" customWidth="1"/>
    <col min="1307" max="1307" width="6.28515625" customWidth="1"/>
    <col min="1308" max="1308" width="5" customWidth="1"/>
    <col min="1309" max="1309" width="6.7109375" customWidth="1"/>
    <col min="1310" max="1310" width="4.5703125" customWidth="1"/>
    <col min="1311" max="1311" width="7.85546875" customWidth="1"/>
    <col min="1312" max="1312" width="5" customWidth="1"/>
    <col min="1313" max="1313" width="7.85546875" customWidth="1"/>
    <col min="1314" max="1314" width="4.42578125" customWidth="1"/>
    <col min="1315" max="1315" width="6.85546875" customWidth="1"/>
    <col min="1316" max="1316" width="4.140625" customWidth="1"/>
    <col min="1317" max="1323" width="7.42578125" customWidth="1"/>
    <col min="1324" max="1324" width="5.140625" customWidth="1"/>
    <col min="1325" max="1325" width="7.5703125" customWidth="1"/>
    <col min="1326" max="1326" width="4.140625" customWidth="1"/>
    <col min="1327" max="1327" width="6.7109375" customWidth="1"/>
    <col min="1328" max="1328" width="8.42578125" customWidth="1"/>
    <col min="1329" max="1329" width="10.140625" customWidth="1"/>
    <col min="1330" max="1330" width="14" customWidth="1"/>
    <col min="1331" max="1331" width="11.140625" customWidth="1"/>
    <col min="1332" max="1333" width="11.42578125" customWidth="1"/>
    <col min="1539" max="1539" width="3" customWidth="1"/>
    <col min="1540" max="1544" width="22" customWidth="1"/>
    <col min="1545" max="1545" width="7.140625" customWidth="1"/>
    <col min="1546" max="1547" width="6.140625" customWidth="1"/>
    <col min="1548" max="1551" width="6.85546875" customWidth="1"/>
    <col min="1552" max="1553" width="8" customWidth="1"/>
    <col min="1554" max="1554" width="9.7109375" customWidth="1"/>
    <col min="1555" max="1555" width="8.42578125" customWidth="1"/>
    <col min="1556" max="1556" width="9" customWidth="1"/>
    <col min="1557" max="1557" width="5.28515625" customWidth="1"/>
    <col min="1558" max="1558" width="6" customWidth="1"/>
    <col min="1559" max="1559" width="5.140625" customWidth="1"/>
    <col min="1560" max="1560" width="5.28515625" customWidth="1"/>
    <col min="1561" max="1561" width="7.7109375" customWidth="1"/>
    <col min="1562" max="1562" width="4.85546875" customWidth="1"/>
    <col min="1563" max="1563" width="6.28515625" customWidth="1"/>
    <col min="1564" max="1564" width="5" customWidth="1"/>
    <col min="1565" max="1565" width="6.7109375" customWidth="1"/>
    <col min="1566" max="1566" width="4.5703125" customWidth="1"/>
    <col min="1567" max="1567" width="7.85546875" customWidth="1"/>
    <col min="1568" max="1568" width="5" customWidth="1"/>
    <col min="1569" max="1569" width="7.85546875" customWidth="1"/>
    <col min="1570" max="1570" width="4.42578125" customWidth="1"/>
    <col min="1571" max="1571" width="6.85546875" customWidth="1"/>
    <col min="1572" max="1572" width="4.140625" customWidth="1"/>
    <col min="1573" max="1579" width="7.42578125" customWidth="1"/>
    <col min="1580" max="1580" width="5.140625" customWidth="1"/>
    <col min="1581" max="1581" width="7.5703125" customWidth="1"/>
    <col min="1582" max="1582" width="4.140625" customWidth="1"/>
    <col min="1583" max="1583" width="6.7109375" customWidth="1"/>
    <col min="1584" max="1584" width="8.42578125" customWidth="1"/>
    <col min="1585" max="1585" width="10.140625" customWidth="1"/>
    <col min="1586" max="1586" width="14" customWidth="1"/>
    <col min="1587" max="1587" width="11.140625" customWidth="1"/>
    <col min="1588" max="1589" width="11.42578125" customWidth="1"/>
    <col min="1795" max="1795" width="3" customWidth="1"/>
    <col min="1796" max="1800" width="22" customWidth="1"/>
    <col min="1801" max="1801" width="7.140625" customWidth="1"/>
    <col min="1802" max="1803" width="6.140625" customWidth="1"/>
    <col min="1804" max="1807" width="6.85546875" customWidth="1"/>
    <col min="1808" max="1809" width="8" customWidth="1"/>
    <col min="1810" max="1810" width="9.7109375" customWidth="1"/>
    <col min="1811" max="1811" width="8.42578125" customWidth="1"/>
    <col min="1812" max="1812" width="9" customWidth="1"/>
    <col min="1813" max="1813" width="5.28515625" customWidth="1"/>
    <col min="1814" max="1814" width="6" customWidth="1"/>
    <col min="1815" max="1815" width="5.140625" customWidth="1"/>
    <col min="1816" max="1816" width="5.28515625" customWidth="1"/>
    <col min="1817" max="1817" width="7.7109375" customWidth="1"/>
    <col min="1818" max="1818" width="4.85546875" customWidth="1"/>
    <col min="1819" max="1819" width="6.28515625" customWidth="1"/>
    <col min="1820" max="1820" width="5" customWidth="1"/>
    <col min="1821" max="1821" width="6.7109375" customWidth="1"/>
    <col min="1822" max="1822" width="4.5703125" customWidth="1"/>
    <col min="1823" max="1823" width="7.85546875" customWidth="1"/>
    <col min="1824" max="1824" width="5" customWidth="1"/>
    <col min="1825" max="1825" width="7.85546875" customWidth="1"/>
    <col min="1826" max="1826" width="4.42578125" customWidth="1"/>
    <col min="1827" max="1827" width="6.85546875" customWidth="1"/>
    <col min="1828" max="1828" width="4.140625" customWidth="1"/>
    <col min="1829" max="1835" width="7.42578125" customWidth="1"/>
    <col min="1836" max="1836" width="5.140625" customWidth="1"/>
    <col min="1837" max="1837" width="7.5703125" customWidth="1"/>
    <col min="1838" max="1838" width="4.140625" customWidth="1"/>
    <col min="1839" max="1839" width="6.7109375" customWidth="1"/>
    <col min="1840" max="1840" width="8.42578125" customWidth="1"/>
    <col min="1841" max="1841" width="10.140625" customWidth="1"/>
    <col min="1842" max="1842" width="14" customWidth="1"/>
    <col min="1843" max="1843" width="11.140625" customWidth="1"/>
    <col min="1844" max="1845" width="11.42578125" customWidth="1"/>
    <col min="2051" max="2051" width="3" customWidth="1"/>
    <col min="2052" max="2056" width="22" customWidth="1"/>
    <col min="2057" max="2057" width="7.140625" customWidth="1"/>
    <col min="2058" max="2059" width="6.140625" customWidth="1"/>
    <col min="2060" max="2063" width="6.85546875" customWidth="1"/>
    <col min="2064" max="2065" width="8" customWidth="1"/>
    <col min="2066" max="2066" width="9.7109375" customWidth="1"/>
    <col min="2067" max="2067" width="8.42578125" customWidth="1"/>
    <col min="2068" max="2068" width="9" customWidth="1"/>
    <col min="2069" max="2069" width="5.28515625" customWidth="1"/>
    <col min="2070" max="2070" width="6" customWidth="1"/>
    <col min="2071" max="2071" width="5.140625" customWidth="1"/>
    <col min="2072" max="2072" width="5.28515625" customWidth="1"/>
    <col min="2073" max="2073" width="7.7109375" customWidth="1"/>
    <col min="2074" max="2074" width="4.85546875" customWidth="1"/>
    <col min="2075" max="2075" width="6.28515625" customWidth="1"/>
    <col min="2076" max="2076" width="5" customWidth="1"/>
    <col min="2077" max="2077" width="6.7109375" customWidth="1"/>
    <col min="2078" max="2078" width="4.5703125" customWidth="1"/>
    <col min="2079" max="2079" width="7.85546875" customWidth="1"/>
    <col min="2080" max="2080" width="5" customWidth="1"/>
    <col min="2081" max="2081" width="7.85546875" customWidth="1"/>
    <col min="2082" max="2082" width="4.42578125" customWidth="1"/>
    <col min="2083" max="2083" width="6.85546875" customWidth="1"/>
    <col min="2084" max="2084" width="4.140625" customWidth="1"/>
    <col min="2085" max="2091" width="7.42578125" customWidth="1"/>
    <col min="2092" max="2092" width="5.140625" customWidth="1"/>
    <col min="2093" max="2093" width="7.5703125" customWidth="1"/>
    <col min="2094" max="2094" width="4.140625" customWidth="1"/>
    <col min="2095" max="2095" width="6.7109375" customWidth="1"/>
    <col min="2096" max="2096" width="8.42578125" customWidth="1"/>
    <col min="2097" max="2097" width="10.140625" customWidth="1"/>
    <col min="2098" max="2098" width="14" customWidth="1"/>
    <col min="2099" max="2099" width="11.140625" customWidth="1"/>
    <col min="2100" max="2101" width="11.42578125" customWidth="1"/>
    <col min="2307" max="2307" width="3" customWidth="1"/>
    <col min="2308" max="2312" width="22" customWidth="1"/>
    <col min="2313" max="2313" width="7.140625" customWidth="1"/>
    <col min="2314" max="2315" width="6.140625" customWidth="1"/>
    <col min="2316" max="2319" width="6.85546875" customWidth="1"/>
    <col min="2320" max="2321" width="8" customWidth="1"/>
    <col min="2322" max="2322" width="9.7109375" customWidth="1"/>
    <col min="2323" max="2323" width="8.42578125" customWidth="1"/>
    <col min="2324" max="2324" width="9" customWidth="1"/>
    <col min="2325" max="2325" width="5.28515625" customWidth="1"/>
    <col min="2326" max="2326" width="6" customWidth="1"/>
    <col min="2327" max="2327" width="5.140625" customWidth="1"/>
    <col min="2328" max="2328" width="5.28515625" customWidth="1"/>
    <col min="2329" max="2329" width="7.7109375" customWidth="1"/>
    <col min="2330" max="2330" width="4.85546875" customWidth="1"/>
    <col min="2331" max="2331" width="6.28515625" customWidth="1"/>
    <col min="2332" max="2332" width="5" customWidth="1"/>
    <col min="2333" max="2333" width="6.7109375" customWidth="1"/>
    <col min="2334" max="2334" width="4.5703125" customWidth="1"/>
    <col min="2335" max="2335" width="7.85546875" customWidth="1"/>
    <col min="2336" max="2336" width="5" customWidth="1"/>
    <col min="2337" max="2337" width="7.85546875" customWidth="1"/>
    <col min="2338" max="2338" width="4.42578125" customWidth="1"/>
    <col min="2339" max="2339" width="6.85546875" customWidth="1"/>
    <col min="2340" max="2340" width="4.140625" customWidth="1"/>
    <col min="2341" max="2347" width="7.42578125" customWidth="1"/>
    <col min="2348" max="2348" width="5.140625" customWidth="1"/>
    <col min="2349" max="2349" width="7.5703125" customWidth="1"/>
    <col min="2350" max="2350" width="4.140625" customWidth="1"/>
    <col min="2351" max="2351" width="6.7109375" customWidth="1"/>
    <col min="2352" max="2352" width="8.42578125" customWidth="1"/>
    <col min="2353" max="2353" width="10.140625" customWidth="1"/>
    <col min="2354" max="2354" width="14" customWidth="1"/>
    <col min="2355" max="2355" width="11.140625" customWidth="1"/>
    <col min="2356" max="2357" width="11.42578125" customWidth="1"/>
    <col min="2563" max="2563" width="3" customWidth="1"/>
    <col min="2564" max="2568" width="22" customWidth="1"/>
    <col min="2569" max="2569" width="7.140625" customWidth="1"/>
    <col min="2570" max="2571" width="6.140625" customWidth="1"/>
    <col min="2572" max="2575" width="6.85546875" customWidth="1"/>
    <col min="2576" max="2577" width="8" customWidth="1"/>
    <col min="2578" max="2578" width="9.7109375" customWidth="1"/>
    <col min="2579" max="2579" width="8.42578125" customWidth="1"/>
    <col min="2580" max="2580" width="9" customWidth="1"/>
    <col min="2581" max="2581" width="5.28515625" customWidth="1"/>
    <col min="2582" max="2582" width="6" customWidth="1"/>
    <col min="2583" max="2583" width="5.140625" customWidth="1"/>
    <col min="2584" max="2584" width="5.28515625" customWidth="1"/>
    <col min="2585" max="2585" width="7.7109375" customWidth="1"/>
    <col min="2586" max="2586" width="4.85546875" customWidth="1"/>
    <col min="2587" max="2587" width="6.28515625" customWidth="1"/>
    <col min="2588" max="2588" width="5" customWidth="1"/>
    <col min="2589" max="2589" width="6.7109375" customWidth="1"/>
    <col min="2590" max="2590" width="4.5703125" customWidth="1"/>
    <col min="2591" max="2591" width="7.85546875" customWidth="1"/>
    <col min="2592" max="2592" width="5" customWidth="1"/>
    <col min="2593" max="2593" width="7.85546875" customWidth="1"/>
    <col min="2594" max="2594" width="4.42578125" customWidth="1"/>
    <col min="2595" max="2595" width="6.85546875" customWidth="1"/>
    <col min="2596" max="2596" width="4.140625" customWidth="1"/>
    <col min="2597" max="2603" width="7.42578125" customWidth="1"/>
    <col min="2604" max="2604" width="5.140625" customWidth="1"/>
    <col min="2605" max="2605" width="7.5703125" customWidth="1"/>
    <col min="2606" max="2606" width="4.140625" customWidth="1"/>
    <col min="2607" max="2607" width="6.7109375" customWidth="1"/>
    <col min="2608" max="2608" width="8.42578125" customWidth="1"/>
    <col min="2609" max="2609" width="10.140625" customWidth="1"/>
    <col min="2610" max="2610" width="14" customWidth="1"/>
    <col min="2611" max="2611" width="11.140625" customWidth="1"/>
    <col min="2612" max="2613" width="11.42578125" customWidth="1"/>
    <col min="2819" max="2819" width="3" customWidth="1"/>
    <col min="2820" max="2824" width="22" customWidth="1"/>
    <col min="2825" max="2825" width="7.140625" customWidth="1"/>
    <col min="2826" max="2827" width="6.140625" customWidth="1"/>
    <col min="2828" max="2831" width="6.85546875" customWidth="1"/>
    <col min="2832" max="2833" width="8" customWidth="1"/>
    <col min="2834" max="2834" width="9.7109375" customWidth="1"/>
    <col min="2835" max="2835" width="8.42578125" customWidth="1"/>
    <col min="2836" max="2836" width="9" customWidth="1"/>
    <col min="2837" max="2837" width="5.28515625" customWidth="1"/>
    <col min="2838" max="2838" width="6" customWidth="1"/>
    <col min="2839" max="2839" width="5.140625" customWidth="1"/>
    <col min="2840" max="2840" width="5.28515625" customWidth="1"/>
    <col min="2841" max="2841" width="7.7109375" customWidth="1"/>
    <col min="2842" max="2842" width="4.85546875" customWidth="1"/>
    <col min="2843" max="2843" width="6.28515625" customWidth="1"/>
    <col min="2844" max="2844" width="5" customWidth="1"/>
    <col min="2845" max="2845" width="6.7109375" customWidth="1"/>
    <col min="2846" max="2846" width="4.5703125" customWidth="1"/>
    <col min="2847" max="2847" width="7.85546875" customWidth="1"/>
    <col min="2848" max="2848" width="5" customWidth="1"/>
    <col min="2849" max="2849" width="7.85546875" customWidth="1"/>
    <col min="2850" max="2850" width="4.42578125" customWidth="1"/>
    <col min="2851" max="2851" width="6.85546875" customWidth="1"/>
    <col min="2852" max="2852" width="4.140625" customWidth="1"/>
    <col min="2853" max="2859" width="7.42578125" customWidth="1"/>
    <col min="2860" max="2860" width="5.140625" customWidth="1"/>
    <col min="2861" max="2861" width="7.5703125" customWidth="1"/>
    <col min="2862" max="2862" width="4.140625" customWidth="1"/>
    <col min="2863" max="2863" width="6.7109375" customWidth="1"/>
    <col min="2864" max="2864" width="8.42578125" customWidth="1"/>
    <col min="2865" max="2865" width="10.140625" customWidth="1"/>
    <col min="2866" max="2866" width="14" customWidth="1"/>
    <col min="2867" max="2867" width="11.140625" customWidth="1"/>
    <col min="2868" max="2869" width="11.42578125" customWidth="1"/>
    <col min="3075" max="3075" width="3" customWidth="1"/>
    <col min="3076" max="3080" width="22" customWidth="1"/>
    <col min="3081" max="3081" width="7.140625" customWidth="1"/>
    <col min="3082" max="3083" width="6.140625" customWidth="1"/>
    <col min="3084" max="3087" width="6.85546875" customWidth="1"/>
    <col min="3088" max="3089" width="8" customWidth="1"/>
    <col min="3090" max="3090" width="9.7109375" customWidth="1"/>
    <col min="3091" max="3091" width="8.42578125" customWidth="1"/>
    <col min="3092" max="3092" width="9" customWidth="1"/>
    <col min="3093" max="3093" width="5.28515625" customWidth="1"/>
    <col min="3094" max="3094" width="6" customWidth="1"/>
    <col min="3095" max="3095" width="5.140625" customWidth="1"/>
    <col min="3096" max="3096" width="5.28515625" customWidth="1"/>
    <col min="3097" max="3097" width="7.7109375" customWidth="1"/>
    <col min="3098" max="3098" width="4.85546875" customWidth="1"/>
    <col min="3099" max="3099" width="6.28515625" customWidth="1"/>
    <col min="3100" max="3100" width="5" customWidth="1"/>
    <col min="3101" max="3101" width="6.7109375" customWidth="1"/>
    <col min="3102" max="3102" width="4.5703125" customWidth="1"/>
    <col min="3103" max="3103" width="7.85546875" customWidth="1"/>
    <col min="3104" max="3104" width="5" customWidth="1"/>
    <col min="3105" max="3105" width="7.85546875" customWidth="1"/>
    <col min="3106" max="3106" width="4.42578125" customWidth="1"/>
    <col min="3107" max="3107" width="6.85546875" customWidth="1"/>
    <col min="3108" max="3108" width="4.140625" customWidth="1"/>
    <col min="3109" max="3115" width="7.42578125" customWidth="1"/>
    <col min="3116" max="3116" width="5.140625" customWidth="1"/>
    <col min="3117" max="3117" width="7.5703125" customWidth="1"/>
    <col min="3118" max="3118" width="4.140625" customWidth="1"/>
    <col min="3119" max="3119" width="6.7109375" customWidth="1"/>
    <col min="3120" max="3120" width="8.42578125" customWidth="1"/>
    <col min="3121" max="3121" width="10.140625" customWidth="1"/>
    <col min="3122" max="3122" width="14" customWidth="1"/>
    <col min="3123" max="3123" width="11.140625" customWidth="1"/>
    <col min="3124" max="3125" width="11.42578125" customWidth="1"/>
    <col min="3331" max="3331" width="3" customWidth="1"/>
    <col min="3332" max="3336" width="22" customWidth="1"/>
    <col min="3337" max="3337" width="7.140625" customWidth="1"/>
    <col min="3338" max="3339" width="6.140625" customWidth="1"/>
    <col min="3340" max="3343" width="6.85546875" customWidth="1"/>
    <col min="3344" max="3345" width="8" customWidth="1"/>
    <col min="3346" max="3346" width="9.7109375" customWidth="1"/>
    <col min="3347" max="3347" width="8.42578125" customWidth="1"/>
    <col min="3348" max="3348" width="9" customWidth="1"/>
    <col min="3349" max="3349" width="5.28515625" customWidth="1"/>
    <col min="3350" max="3350" width="6" customWidth="1"/>
    <col min="3351" max="3351" width="5.140625" customWidth="1"/>
    <col min="3352" max="3352" width="5.28515625" customWidth="1"/>
    <col min="3353" max="3353" width="7.7109375" customWidth="1"/>
    <col min="3354" max="3354" width="4.85546875" customWidth="1"/>
    <col min="3355" max="3355" width="6.28515625" customWidth="1"/>
    <col min="3356" max="3356" width="5" customWidth="1"/>
    <col min="3357" max="3357" width="6.7109375" customWidth="1"/>
    <col min="3358" max="3358" width="4.5703125" customWidth="1"/>
    <col min="3359" max="3359" width="7.85546875" customWidth="1"/>
    <col min="3360" max="3360" width="5" customWidth="1"/>
    <col min="3361" max="3361" width="7.85546875" customWidth="1"/>
    <col min="3362" max="3362" width="4.42578125" customWidth="1"/>
    <col min="3363" max="3363" width="6.85546875" customWidth="1"/>
    <col min="3364" max="3364" width="4.140625" customWidth="1"/>
    <col min="3365" max="3371" width="7.42578125" customWidth="1"/>
    <col min="3372" max="3372" width="5.140625" customWidth="1"/>
    <col min="3373" max="3373" width="7.5703125" customWidth="1"/>
    <col min="3374" max="3374" width="4.140625" customWidth="1"/>
    <col min="3375" max="3375" width="6.7109375" customWidth="1"/>
    <col min="3376" max="3376" width="8.42578125" customWidth="1"/>
    <col min="3377" max="3377" width="10.140625" customWidth="1"/>
    <col min="3378" max="3378" width="14" customWidth="1"/>
    <col min="3379" max="3379" width="11.140625" customWidth="1"/>
    <col min="3380" max="3381" width="11.42578125" customWidth="1"/>
    <col min="3587" max="3587" width="3" customWidth="1"/>
    <col min="3588" max="3592" width="22" customWidth="1"/>
    <col min="3593" max="3593" width="7.140625" customWidth="1"/>
    <col min="3594" max="3595" width="6.140625" customWidth="1"/>
    <col min="3596" max="3599" width="6.85546875" customWidth="1"/>
    <col min="3600" max="3601" width="8" customWidth="1"/>
    <col min="3602" max="3602" width="9.7109375" customWidth="1"/>
    <col min="3603" max="3603" width="8.42578125" customWidth="1"/>
    <col min="3604" max="3604" width="9" customWidth="1"/>
    <col min="3605" max="3605" width="5.28515625" customWidth="1"/>
    <col min="3606" max="3606" width="6" customWidth="1"/>
    <col min="3607" max="3607" width="5.140625" customWidth="1"/>
    <col min="3608" max="3608" width="5.28515625" customWidth="1"/>
    <col min="3609" max="3609" width="7.7109375" customWidth="1"/>
    <col min="3610" max="3610" width="4.85546875" customWidth="1"/>
    <col min="3611" max="3611" width="6.28515625" customWidth="1"/>
    <col min="3612" max="3612" width="5" customWidth="1"/>
    <col min="3613" max="3613" width="6.7109375" customWidth="1"/>
    <col min="3614" max="3614" width="4.5703125" customWidth="1"/>
    <col min="3615" max="3615" width="7.85546875" customWidth="1"/>
    <col min="3616" max="3616" width="5" customWidth="1"/>
    <col min="3617" max="3617" width="7.85546875" customWidth="1"/>
    <col min="3618" max="3618" width="4.42578125" customWidth="1"/>
    <col min="3619" max="3619" width="6.85546875" customWidth="1"/>
    <col min="3620" max="3620" width="4.140625" customWidth="1"/>
    <col min="3621" max="3627" width="7.42578125" customWidth="1"/>
    <col min="3628" max="3628" width="5.140625" customWidth="1"/>
    <col min="3629" max="3629" width="7.5703125" customWidth="1"/>
    <col min="3630" max="3630" width="4.140625" customWidth="1"/>
    <col min="3631" max="3631" width="6.7109375" customWidth="1"/>
    <col min="3632" max="3632" width="8.42578125" customWidth="1"/>
    <col min="3633" max="3633" width="10.140625" customWidth="1"/>
    <col min="3634" max="3634" width="14" customWidth="1"/>
    <col min="3635" max="3635" width="11.140625" customWidth="1"/>
    <col min="3636" max="3637" width="11.42578125" customWidth="1"/>
    <col min="3843" max="3843" width="3" customWidth="1"/>
    <col min="3844" max="3848" width="22" customWidth="1"/>
    <col min="3849" max="3849" width="7.140625" customWidth="1"/>
    <col min="3850" max="3851" width="6.140625" customWidth="1"/>
    <col min="3852" max="3855" width="6.85546875" customWidth="1"/>
    <col min="3856" max="3857" width="8" customWidth="1"/>
    <col min="3858" max="3858" width="9.7109375" customWidth="1"/>
    <col min="3859" max="3859" width="8.42578125" customWidth="1"/>
    <col min="3860" max="3860" width="9" customWidth="1"/>
    <col min="3861" max="3861" width="5.28515625" customWidth="1"/>
    <col min="3862" max="3862" width="6" customWidth="1"/>
    <col min="3863" max="3863" width="5.140625" customWidth="1"/>
    <col min="3864" max="3864" width="5.28515625" customWidth="1"/>
    <col min="3865" max="3865" width="7.7109375" customWidth="1"/>
    <col min="3866" max="3866" width="4.85546875" customWidth="1"/>
    <col min="3867" max="3867" width="6.28515625" customWidth="1"/>
    <col min="3868" max="3868" width="5" customWidth="1"/>
    <col min="3869" max="3869" width="6.7109375" customWidth="1"/>
    <col min="3870" max="3870" width="4.5703125" customWidth="1"/>
    <col min="3871" max="3871" width="7.85546875" customWidth="1"/>
    <col min="3872" max="3872" width="5" customWidth="1"/>
    <col min="3873" max="3873" width="7.85546875" customWidth="1"/>
    <col min="3874" max="3874" width="4.42578125" customWidth="1"/>
    <col min="3875" max="3875" width="6.85546875" customWidth="1"/>
    <col min="3876" max="3876" width="4.140625" customWidth="1"/>
    <col min="3877" max="3883" width="7.42578125" customWidth="1"/>
    <col min="3884" max="3884" width="5.140625" customWidth="1"/>
    <col min="3885" max="3885" width="7.5703125" customWidth="1"/>
    <col min="3886" max="3886" width="4.140625" customWidth="1"/>
    <col min="3887" max="3887" width="6.7109375" customWidth="1"/>
    <col min="3888" max="3888" width="8.42578125" customWidth="1"/>
    <col min="3889" max="3889" width="10.140625" customWidth="1"/>
    <col min="3890" max="3890" width="14" customWidth="1"/>
    <col min="3891" max="3891" width="11.140625" customWidth="1"/>
    <col min="3892" max="3893" width="11.42578125" customWidth="1"/>
    <col min="4099" max="4099" width="3" customWidth="1"/>
    <col min="4100" max="4104" width="22" customWidth="1"/>
    <col min="4105" max="4105" width="7.140625" customWidth="1"/>
    <col min="4106" max="4107" width="6.140625" customWidth="1"/>
    <col min="4108" max="4111" width="6.85546875" customWidth="1"/>
    <col min="4112" max="4113" width="8" customWidth="1"/>
    <col min="4114" max="4114" width="9.7109375" customWidth="1"/>
    <col min="4115" max="4115" width="8.42578125" customWidth="1"/>
    <col min="4116" max="4116" width="9" customWidth="1"/>
    <col min="4117" max="4117" width="5.28515625" customWidth="1"/>
    <col min="4118" max="4118" width="6" customWidth="1"/>
    <col min="4119" max="4119" width="5.140625" customWidth="1"/>
    <col min="4120" max="4120" width="5.28515625" customWidth="1"/>
    <col min="4121" max="4121" width="7.7109375" customWidth="1"/>
    <col min="4122" max="4122" width="4.85546875" customWidth="1"/>
    <col min="4123" max="4123" width="6.28515625" customWidth="1"/>
    <col min="4124" max="4124" width="5" customWidth="1"/>
    <col min="4125" max="4125" width="6.7109375" customWidth="1"/>
    <col min="4126" max="4126" width="4.5703125" customWidth="1"/>
    <col min="4127" max="4127" width="7.85546875" customWidth="1"/>
    <col min="4128" max="4128" width="5" customWidth="1"/>
    <col min="4129" max="4129" width="7.85546875" customWidth="1"/>
    <col min="4130" max="4130" width="4.42578125" customWidth="1"/>
    <col min="4131" max="4131" width="6.85546875" customWidth="1"/>
    <col min="4132" max="4132" width="4.140625" customWidth="1"/>
    <col min="4133" max="4139" width="7.42578125" customWidth="1"/>
    <col min="4140" max="4140" width="5.140625" customWidth="1"/>
    <col min="4141" max="4141" width="7.5703125" customWidth="1"/>
    <col min="4142" max="4142" width="4.140625" customWidth="1"/>
    <col min="4143" max="4143" width="6.7109375" customWidth="1"/>
    <col min="4144" max="4144" width="8.42578125" customWidth="1"/>
    <col min="4145" max="4145" width="10.140625" customWidth="1"/>
    <col min="4146" max="4146" width="14" customWidth="1"/>
    <col min="4147" max="4147" width="11.140625" customWidth="1"/>
    <col min="4148" max="4149" width="11.42578125" customWidth="1"/>
    <col min="4355" max="4355" width="3" customWidth="1"/>
    <col min="4356" max="4360" width="22" customWidth="1"/>
    <col min="4361" max="4361" width="7.140625" customWidth="1"/>
    <col min="4362" max="4363" width="6.140625" customWidth="1"/>
    <col min="4364" max="4367" width="6.85546875" customWidth="1"/>
    <col min="4368" max="4369" width="8" customWidth="1"/>
    <col min="4370" max="4370" width="9.7109375" customWidth="1"/>
    <col min="4371" max="4371" width="8.42578125" customWidth="1"/>
    <col min="4372" max="4372" width="9" customWidth="1"/>
    <col min="4373" max="4373" width="5.28515625" customWidth="1"/>
    <col min="4374" max="4374" width="6" customWidth="1"/>
    <col min="4375" max="4375" width="5.140625" customWidth="1"/>
    <col min="4376" max="4376" width="5.28515625" customWidth="1"/>
    <col min="4377" max="4377" width="7.7109375" customWidth="1"/>
    <col min="4378" max="4378" width="4.85546875" customWidth="1"/>
    <col min="4379" max="4379" width="6.28515625" customWidth="1"/>
    <col min="4380" max="4380" width="5" customWidth="1"/>
    <col min="4381" max="4381" width="6.7109375" customWidth="1"/>
    <col min="4382" max="4382" width="4.5703125" customWidth="1"/>
    <col min="4383" max="4383" width="7.85546875" customWidth="1"/>
    <col min="4384" max="4384" width="5" customWidth="1"/>
    <col min="4385" max="4385" width="7.85546875" customWidth="1"/>
    <col min="4386" max="4386" width="4.42578125" customWidth="1"/>
    <col min="4387" max="4387" width="6.85546875" customWidth="1"/>
    <col min="4388" max="4388" width="4.140625" customWidth="1"/>
    <col min="4389" max="4395" width="7.42578125" customWidth="1"/>
    <col min="4396" max="4396" width="5.140625" customWidth="1"/>
    <col min="4397" max="4397" width="7.5703125" customWidth="1"/>
    <col min="4398" max="4398" width="4.140625" customWidth="1"/>
    <col min="4399" max="4399" width="6.7109375" customWidth="1"/>
    <col min="4400" max="4400" width="8.42578125" customWidth="1"/>
    <col min="4401" max="4401" width="10.140625" customWidth="1"/>
    <col min="4402" max="4402" width="14" customWidth="1"/>
    <col min="4403" max="4403" width="11.140625" customWidth="1"/>
    <col min="4404" max="4405" width="11.42578125" customWidth="1"/>
    <col min="4611" max="4611" width="3" customWidth="1"/>
    <col min="4612" max="4616" width="22" customWidth="1"/>
    <col min="4617" max="4617" width="7.140625" customWidth="1"/>
    <col min="4618" max="4619" width="6.140625" customWidth="1"/>
    <col min="4620" max="4623" width="6.85546875" customWidth="1"/>
    <col min="4624" max="4625" width="8" customWidth="1"/>
    <col min="4626" max="4626" width="9.7109375" customWidth="1"/>
    <col min="4627" max="4627" width="8.42578125" customWidth="1"/>
    <col min="4628" max="4628" width="9" customWidth="1"/>
    <col min="4629" max="4629" width="5.28515625" customWidth="1"/>
    <col min="4630" max="4630" width="6" customWidth="1"/>
    <col min="4631" max="4631" width="5.140625" customWidth="1"/>
    <col min="4632" max="4632" width="5.28515625" customWidth="1"/>
    <col min="4633" max="4633" width="7.7109375" customWidth="1"/>
    <col min="4634" max="4634" width="4.85546875" customWidth="1"/>
    <col min="4635" max="4635" width="6.28515625" customWidth="1"/>
    <col min="4636" max="4636" width="5" customWidth="1"/>
    <col min="4637" max="4637" width="6.7109375" customWidth="1"/>
    <col min="4638" max="4638" width="4.5703125" customWidth="1"/>
    <col min="4639" max="4639" width="7.85546875" customWidth="1"/>
    <col min="4640" max="4640" width="5" customWidth="1"/>
    <col min="4641" max="4641" width="7.85546875" customWidth="1"/>
    <col min="4642" max="4642" width="4.42578125" customWidth="1"/>
    <col min="4643" max="4643" width="6.85546875" customWidth="1"/>
    <col min="4644" max="4644" width="4.140625" customWidth="1"/>
    <col min="4645" max="4651" width="7.42578125" customWidth="1"/>
    <col min="4652" max="4652" width="5.140625" customWidth="1"/>
    <col min="4653" max="4653" width="7.5703125" customWidth="1"/>
    <col min="4654" max="4654" width="4.140625" customWidth="1"/>
    <col min="4655" max="4655" width="6.7109375" customWidth="1"/>
    <col min="4656" max="4656" width="8.42578125" customWidth="1"/>
    <col min="4657" max="4657" width="10.140625" customWidth="1"/>
    <col min="4658" max="4658" width="14" customWidth="1"/>
    <col min="4659" max="4659" width="11.140625" customWidth="1"/>
    <col min="4660" max="4661" width="11.42578125" customWidth="1"/>
    <col min="4867" max="4867" width="3" customWidth="1"/>
    <col min="4868" max="4872" width="22" customWidth="1"/>
    <col min="4873" max="4873" width="7.140625" customWidth="1"/>
    <col min="4874" max="4875" width="6.140625" customWidth="1"/>
    <col min="4876" max="4879" width="6.85546875" customWidth="1"/>
    <col min="4880" max="4881" width="8" customWidth="1"/>
    <col min="4882" max="4882" width="9.7109375" customWidth="1"/>
    <col min="4883" max="4883" width="8.42578125" customWidth="1"/>
    <col min="4884" max="4884" width="9" customWidth="1"/>
    <col min="4885" max="4885" width="5.28515625" customWidth="1"/>
    <col min="4886" max="4886" width="6" customWidth="1"/>
    <col min="4887" max="4887" width="5.140625" customWidth="1"/>
    <col min="4888" max="4888" width="5.28515625" customWidth="1"/>
    <col min="4889" max="4889" width="7.7109375" customWidth="1"/>
    <col min="4890" max="4890" width="4.85546875" customWidth="1"/>
    <col min="4891" max="4891" width="6.28515625" customWidth="1"/>
    <col min="4892" max="4892" width="5" customWidth="1"/>
    <col min="4893" max="4893" width="6.7109375" customWidth="1"/>
    <col min="4894" max="4894" width="4.5703125" customWidth="1"/>
    <col min="4895" max="4895" width="7.85546875" customWidth="1"/>
    <col min="4896" max="4896" width="5" customWidth="1"/>
    <col min="4897" max="4897" width="7.85546875" customWidth="1"/>
    <col min="4898" max="4898" width="4.42578125" customWidth="1"/>
    <col min="4899" max="4899" width="6.85546875" customWidth="1"/>
    <col min="4900" max="4900" width="4.140625" customWidth="1"/>
    <col min="4901" max="4907" width="7.42578125" customWidth="1"/>
    <col min="4908" max="4908" width="5.140625" customWidth="1"/>
    <col min="4909" max="4909" width="7.5703125" customWidth="1"/>
    <col min="4910" max="4910" width="4.140625" customWidth="1"/>
    <col min="4911" max="4911" width="6.7109375" customWidth="1"/>
    <col min="4912" max="4912" width="8.42578125" customWidth="1"/>
    <col min="4913" max="4913" width="10.140625" customWidth="1"/>
    <col min="4914" max="4914" width="14" customWidth="1"/>
    <col min="4915" max="4915" width="11.140625" customWidth="1"/>
    <col min="4916" max="4917" width="11.42578125" customWidth="1"/>
    <col min="5123" max="5123" width="3" customWidth="1"/>
    <col min="5124" max="5128" width="22" customWidth="1"/>
    <col min="5129" max="5129" width="7.140625" customWidth="1"/>
    <col min="5130" max="5131" width="6.140625" customWidth="1"/>
    <col min="5132" max="5135" width="6.85546875" customWidth="1"/>
    <col min="5136" max="5137" width="8" customWidth="1"/>
    <col min="5138" max="5138" width="9.7109375" customWidth="1"/>
    <col min="5139" max="5139" width="8.42578125" customWidth="1"/>
    <col min="5140" max="5140" width="9" customWidth="1"/>
    <col min="5141" max="5141" width="5.28515625" customWidth="1"/>
    <col min="5142" max="5142" width="6" customWidth="1"/>
    <col min="5143" max="5143" width="5.140625" customWidth="1"/>
    <col min="5144" max="5144" width="5.28515625" customWidth="1"/>
    <col min="5145" max="5145" width="7.7109375" customWidth="1"/>
    <col min="5146" max="5146" width="4.85546875" customWidth="1"/>
    <col min="5147" max="5147" width="6.28515625" customWidth="1"/>
    <col min="5148" max="5148" width="5" customWidth="1"/>
    <col min="5149" max="5149" width="6.7109375" customWidth="1"/>
    <col min="5150" max="5150" width="4.5703125" customWidth="1"/>
    <col min="5151" max="5151" width="7.85546875" customWidth="1"/>
    <col min="5152" max="5152" width="5" customWidth="1"/>
    <col min="5153" max="5153" width="7.85546875" customWidth="1"/>
    <col min="5154" max="5154" width="4.42578125" customWidth="1"/>
    <col min="5155" max="5155" width="6.85546875" customWidth="1"/>
    <col min="5156" max="5156" width="4.140625" customWidth="1"/>
    <col min="5157" max="5163" width="7.42578125" customWidth="1"/>
    <col min="5164" max="5164" width="5.140625" customWidth="1"/>
    <col min="5165" max="5165" width="7.5703125" customWidth="1"/>
    <col min="5166" max="5166" width="4.140625" customWidth="1"/>
    <col min="5167" max="5167" width="6.7109375" customWidth="1"/>
    <col min="5168" max="5168" width="8.42578125" customWidth="1"/>
    <col min="5169" max="5169" width="10.140625" customWidth="1"/>
    <col min="5170" max="5170" width="14" customWidth="1"/>
    <col min="5171" max="5171" width="11.140625" customWidth="1"/>
    <col min="5172" max="5173" width="11.42578125" customWidth="1"/>
    <col min="5379" max="5379" width="3" customWidth="1"/>
    <col min="5380" max="5384" width="22" customWidth="1"/>
    <col min="5385" max="5385" width="7.140625" customWidth="1"/>
    <col min="5386" max="5387" width="6.140625" customWidth="1"/>
    <col min="5388" max="5391" width="6.85546875" customWidth="1"/>
    <col min="5392" max="5393" width="8" customWidth="1"/>
    <col min="5394" max="5394" width="9.7109375" customWidth="1"/>
    <col min="5395" max="5395" width="8.42578125" customWidth="1"/>
    <col min="5396" max="5396" width="9" customWidth="1"/>
    <col min="5397" max="5397" width="5.28515625" customWidth="1"/>
    <col min="5398" max="5398" width="6" customWidth="1"/>
    <col min="5399" max="5399" width="5.140625" customWidth="1"/>
    <col min="5400" max="5400" width="5.28515625" customWidth="1"/>
    <col min="5401" max="5401" width="7.7109375" customWidth="1"/>
    <col min="5402" max="5402" width="4.85546875" customWidth="1"/>
    <col min="5403" max="5403" width="6.28515625" customWidth="1"/>
    <col min="5404" max="5404" width="5" customWidth="1"/>
    <col min="5405" max="5405" width="6.7109375" customWidth="1"/>
    <col min="5406" max="5406" width="4.5703125" customWidth="1"/>
    <col min="5407" max="5407" width="7.85546875" customWidth="1"/>
    <col min="5408" max="5408" width="5" customWidth="1"/>
    <col min="5409" max="5409" width="7.85546875" customWidth="1"/>
    <col min="5410" max="5410" width="4.42578125" customWidth="1"/>
    <col min="5411" max="5411" width="6.85546875" customWidth="1"/>
    <col min="5412" max="5412" width="4.140625" customWidth="1"/>
    <col min="5413" max="5419" width="7.42578125" customWidth="1"/>
    <col min="5420" max="5420" width="5.140625" customWidth="1"/>
    <col min="5421" max="5421" width="7.5703125" customWidth="1"/>
    <col min="5422" max="5422" width="4.140625" customWidth="1"/>
    <col min="5423" max="5423" width="6.7109375" customWidth="1"/>
    <col min="5424" max="5424" width="8.42578125" customWidth="1"/>
    <col min="5425" max="5425" width="10.140625" customWidth="1"/>
    <col min="5426" max="5426" width="14" customWidth="1"/>
    <col min="5427" max="5427" width="11.140625" customWidth="1"/>
    <col min="5428" max="5429" width="11.42578125" customWidth="1"/>
    <col min="5635" max="5635" width="3" customWidth="1"/>
    <col min="5636" max="5640" width="22" customWidth="1"/>
    <col min="5641" max="5641" width="7.140625" customWidth="1"/>
    <col min="5642" max="5643" width="6.140625" customWidth="1"/>
    <col min="5644" max="5647" width="6.85546875" customWidth="1"/>
    <col min="5648" max="5649" width="8" customWidth="1"/>
    <col min="5650" max="5650" width="9.7109375" customWidth="1"/>
    <col min="5651" max="5651" width="8.42578125" customWidth="1"/>
    <col min="5652" max="5652" width="9" customWidth="1"/>
    <col min="5653" max="5653" width="5.28515625" customWidth="1"/>
    <col min="5654" max="5654" width="6" customWidth="1"/>
    <col min="5655" max="5655" width="5.140625" customWidth="1"/>
    <col min="5656" max="5656" width="5.28515625" customWidth="1"/>
    <col min="5657" max="5657" width="7.7109375" customWidth="1"/>
    <col min="5658" max="5658" width="4.85546875" customWidth="1"/>
    <col min="5659" max="5659" width="6.28515625" customWidth="1"/>
    <col min="5660" max="5660" width="5" customWidth="1"/>
    <col min="5661" max="5661" width="6.7109375" customWidth="1"/>
    <col min="5662" max="5662" width="4.5703125" customWidth="1"/>
    <col min="5663" max="5663" width="7.85546875" customWidth="1"/>
    <col min="5664" max="5664" width="5" customWidth="1"/>
    <col min="5665" max="5665" width="7.85546875" customWidth="1"/>
    <col min="5666" max="5666" width="4.42578125" customWidth="1"/>
    <col min="5667" max="5667" width="6.85546875" customWidth="1"/>
    <col min="5668" max="5668" width="4.140625" customWidth="1"/>
    <col min="5669" max="5675" width="7.42578125" customWidth="1"/>
    <col min="5676" max="5676" width="5.140625" customWidth="1"/>
    <col min="5677" max="5677" width="7.5703125" customWidth="1"/>
    <col min="5678" max="5678" width="4.140625" customWidth="1"/>
    <col min="5679" max="5679" width="6.7109375" customWidth="1"/>
    <col min="5680" max="5680" width="8.42578125" customWidth="1"/>
    <col min="5681" max="5681" width="10.140625" customWidth="1"/>
    <col min="5682" max="5682" width="14" customWidth="1"/>
    <col min="5683" max="5683" width="11.140625" customWidth="1"/>
    <col min="5684" max="5685" width="11.42578125" customWidth="1"/>
    <col min="5891" max="5891" width="3" customWidth="1"/>
    <col min="5892" max="5896" width="22" customWidth="1"/>
    <col min="5897" max="5897" width="7.140625" customWidth="1"/>
    <col min="5898" max="5899" width="6.140625" customWidth="1"/>
    <col min="5900" max="5903" width="6.85546875" customWidth="1"/>
    <col min="5904" max="5905" width="8" customWidth="1"/>
    <col min="5906" max="5906" width="9.7109375" customWidth="1"/>
    <col min="5907" max="5907" width="8.42578125" customWidth="1"/>
    <col min="5908" max="5908" width="9" customWidth="1"/>
    <col min="5909" max="5909" width="5.28515625" customWidth="1"/>
    <col min="5910" max="5910" width="6" customWidth="1"/>
    <col min="5911" max="5911" width="5.140625" customWidth="1"/>
    <col min="5912" max="5912" width="5.28515625" customWidth="1"/>
    <col min="5913" max="5913" width="7.7109375" customWidth="1"/>
    <col min="5914" max="5914" width="4.85546875" customWidth="1"/>
    <col min="5915" max="5915" width="6.28515625" customWidth="1"/>
    <col min="5916" max="5916" width="5" customWidth="1"/>
    <col min="5917" max="5917" width="6.7109375" customWidth="1"/>
    <col min="5918" max="5918" width="4.5703125" customWidth="1"/>
    <col min="5919" max="5919" width="7.85546875" customWidth="1"/>
    <col min="5920" max="5920" width="5" customWidth="1"/>
    <col min="5921" max="5921" width="7.85546875" customWidth="1"/>
    <col min="5922" max="5922" width="4.42578125" customWidth="1"/>
    <col min="5923" max="5923" width="6.85546875" customWidth="1"/>
    <col min="5924" max="5924" width="4.140625" customWidth="1"/>
    <col min="5925" max="5931" width="7.42578125" customWidth="1"/>
    <col min="5932" max="5932" width="5.140625" customWidth="1"/>
    <col min="5933" max="5933" width="7.5703125" customWidth="1"/>
    <col min="5934" max="5934" width="4.140625" customWidth="1"/>
    <col min="5935" max="5935" width="6.7109375" customWidth="1"/>
    <col min="5936" max="5936" width="8.42578125" customWidth="1"/>
    <col min="5937" max="5937" width="10.140625" customWidth="1"/>
    <col min="5938" max="5938" width="14" customWidth="1"/>
    <col min="5939" max="5939" width="11.140625" customWidth="1"/>
    <col min="5940" max="5941" width="11.42578125" customWidth="1"/>
    <col min="6147" max="6147" width="3" customWidth="1"/>
    <col min="6148" max="6152" width="22" customWidth="1"/>
    <col min="6153" max="6153" width="7.140625" customWidth="1"/>
    <col min="6154" max="6155" width="6.140625" customWidth="1"/>
    <col min="6156" max="6159" width="6.85546875" customWidth="1"/>
    <col min="6160" max="6161" width="8" customWidth="1"/>
    <col min="6162" max="6162" width="9.7109375" customWidth="1"/>
    <col min="6163" max="6163" width="8.42578125" customWidth="1"/>
    <col min="6164" max="6164" width="9" customWidth="1"/>
    <col min="6165" max="6165" width="5.28515625" customWidth="1"/>
    <col min="6166" max="6166" width="6" customWidth="1"/>
    <col min="6167" max="6167" width="5.140625" customWidth="1"/>
    <col min="6168" max="6168" width="5.28515625" customWidth="1"/>
    <col min="6169" max="6169" width="7.7109375" customWidth="1"/>
    <col min="6170" max="6170" width="4.85546875" customWidth="1"/>
    <col min="6171" max="6171" width="6.28515625" customWidth="1"/>
    <col min="6172" max="6172" width="5" customWidth="1"/>
    <col min="6173" max="6173" width="6.7109375" customWidth="1"/>
    <col min="6174" max="6174" width="4.5703125" customWidth="1"/>
    <col min="6175" max="6175" width="7.85546875" customWidth="1"/>
    <col min="6176" max="6176" width="5" customWidth="1"/>
    <col min="6177" max="6177" width="7.85546875" customWidth="1"/>
    <col min="6178" max="6178" width="4.42578125" customWidth="1"/>
    <col min="6179" max="6179" width="6.85546875" customWidth="1"/>
    <col min="6180" max="6180" width="4.140625" customWidth="1"/>
    <col min="6181" max="6187" width="7.42578125" customWidth="1"/>
    <col min="6188" max="6188" width="5.140625" customWidth="1"/>
    <col min="6189" max="6189" width="7.5703125" customWidth="1"/>
    <col min="6190" max="6190" width="4.140625" customWidth="1"/>
    <col min="6191" max="6191" width="6.7109375" customWidth="1"/>
    <col min="6192" max="6192" width="8.42578125" customWidth="1"/>
    <col min="6193" max="6193" width="10.140625" customWidth="1"/>
    <col min="6194" max="6194" width="14" customWidth="1"/>
    <col min="6195" max="6195" width="11.140625" customWidth="1"/>
    <col min="6196" max="6197" width="11.42578125" customWidth="1"/>
    <col min="6403" max="6403" width="3" customWidth="1"/>
    <col min="6404" max="6408" width="22" customWidth="1"/>
    <col min="6409" max="6409" width="7.140625" customWidth="1"/>
    <col min="6410" max="6411" width="6.140625" customWidth="1"/>
    <col min="6412" max="6415" width="6.85546875" customWidth="1"/>
    <col min="6416" max="6417" width="8" customWidth="1"/>
    <col min="6418" max="6418" width="9.7109375" customWidth="1"/>
    <col min="6419" max="6419" width="8.42578125" customWidth="1"/>
    <col min="6420" max="6420" width="9" customWidth="1"/>
    <col min="6421" max="6421" width="5.28515625" customWidth="1"/>
    <col min="6422" max="6422" width="6" customWidth="1"/>
    <col min="6423" max="6423" width="5.140625" customWidth="1"/>
    <col min="6424" max="6424" width="5.28515625" customWidth="1"/>
    <col min="6425" max="6425" width="7.7109375" customWidth="1"/>
    <col min="6426" max="6426" width="4.85546875" customWidth="1"/>
    <col min="6427" max="6427" width="6.28515625" customWidth="1"/>
    <col min="6428" max="6428" width="5" customWidth="1"/>
    <col min="6429" max="6429" width="6.7109375" customWidth="1"/>
    <col min="6430" max="6430" width="4.5703125" customWidth="1"/>
    <col min="6431" max="6431" width="7.85546875" customWidth="1"/>
    <col min="6432" max="6432" width="5" customWidth="1"/>
    <col min="6433" max="6433" width="7.85546875" customWidth="1"/>
    <col min="6434" max="6434" width="4.42578125" customWidth="1"/>
    <col min="6435" max="6435" width="6.85546875" customWidth="1"/>
    <col min="6436" max="6436" width="4.140625" customWidth="1"/>
    <col min="6437" max="6443" width="7.42578125" customWidth="1"/>
    <col min="6444" max="6444" width="5.140625" customWidth="1"/>
    <col min="6445" max="6445" width="7.5703125" customWidth="1"/>
    <col min="6446" max="6446" width="4.140625" customWidth="1"/>
    <col min="6447" max="6447" width="6.7109375" customWidth="1"/>
    <col min="6448" max="6448" width="8.42578125" customWidth="1"/>
    <col min="6449" max="6449" width="10.140625" customWidth="1"/>
    <col min="6450" max="6450" width="14" customWidth="1"/>
    <col min="6451" max="6451" width="11.140625" customWidth="1"/>
    <col min="6452" max="6453" width="11.42578125" customWidth="1"/>
    <col min="6659" max="6659" width="3" customWidth="1"/>
    <col min="6660" max="6664" width="22" customWidth="1"/>
    <col min="6665" max="6665" width="7.140625" customWidth="1"/>
    <col min="6666" max="6667" width="6.140625" customWidth="1"/>
    <col min="6668" max="6671" width="6.85546875" customWidth="1"/>
    <col min="6672" max="6673" width="8" customWidth="1"/>
    <col min="6674" max="6674" width="9.7109375" customWidth="1"/>
    <col min="6675" max="6675" width="8.42578125" customWidth="1"/>
    <col min="6676" max="6676" width="9" customWidth="1"/>
    <col min="6677" max="6677" width="5.28515625" customWidth="1"/>
    <col min="6678" max="6678" width="6" customWidth="1"/>
    <col min="6679" max="6679" width="5.140625" customWidth="1"/>
    <col min="6680" max="6680" width="5.28515625" customWidth="1"/>
    <col min="6681" max="6681" width="7.7109375" customWidth="1"/>
    <col min="6682" max="6682" width="4.85546875" customWidth="1"/>
    <col min="6683" max="6683" width="6.28515625" customWidth="1"/>
    <col min="6684" max="6684" width="5" customWidth="1"/>
    <col min="6685" max="6685" width="6.7109375" customWidth="1"/>
    <col min="6686" max="6686" width="4.5703125" customWidth="1"/>
    <col min="6687" max="6687" width="7.85546875" customWidth="1"/>
    <col min="6688" max="6688" width="5" customWidth="1"/>
    <col min="6689" max="6689" width="7.85546875" customWidth="1"/>
    <col min="6690" max="6690" width="4.42578125" customWidth="1"/>
    <col min="6691" max="6691" width="6.85546875" customWidth="1"/>
    <col min="6692" max="6692" width="4.140625" customWidth="1"/>
    <col min="6693" max="6699" width="7.42578125" customWidth="1"/>
    <col min="6700" max="6700" width="5.140625" customWidth="1"/>
    <col min="6701" max="6701" width="7.5703125" customWidth="1"/>
    <col min="6702" max="6702" width="4.140625" customWidth="1"/>
    <col min="6703" max="6703" width="6.7109375" customWidth="1"/>
    <col min="6704" max="6704" width="8.42578125" customWidth="1"/>
    <col min="6705" max="6705" width="10.140625" customWidth="1"/>
    <col min="6706" max="6706" width="14" customWidth="1"/>
    <col min="6707" max="6707" width="11.140625" customWidth="1"/>
    <col min="6708" max="6709" width="11.42578125" customWidth="1"/>
    <col min="6915" max="6915" width="3" customWidth="1"/>
    <col min="6916" max="6920" width="22" customWidth="1"/>
    <col min="6921" max="6921" width="7.140625" customWidth="1"/>
    <col min="6922" max="6923" width="6.140625" customWidth="1"/>
    <col min="6924" max="6927" width="6.85546875" customWidth="1"/>
    <col min="6928" max="6929" width="8" customWidth="1"/>
    <col min="6930" max="6930" width="9.7109375" customWidth="1"/>
    <col min="6931" max="6931" width="8.42578125" customWidth="1"/>
    <col min="6932" max="6932" width="9" customWidth="1"/>
    <col min="6933" max="6933" width="5.28515625" customWidth="1"/>
    <col min="6934" max="6934" width="6" customWidth="1"/>
    <col min="6935" max="6935" width="5.140625" customWidth="1"/>
    <col min="6936" max="6936" width="5.28515625" customWidth="1"/>
    <col min="6937" max="6937" width="7.7109375" customWidth="1"/>
    <col min="6938" max="6938" width="4.85546875" customWidth="1"/>
    <col min="6939" max="6939" width="6.28515625" customWidth="1"/>
    <col min="6940" max="6940" width="5" customWidth="1"/>
    <col min="6941" max="6941" width="6.7109375" customWidth="1"/>
    <col min="6942" max="6942" width="4.5703125" customWidth="1"/>
    <col min="6943" max="6943" width="7.85546875" customWidth="1"/>
    <col min="6944" max="6944" width="5" customWidth="1"/>
    <col min="6945" max="6945" width="7.85546875" customWidth="1"/>
    <col min="6946" max="6946" width="4.42578125" customWidth="1"/>
    <col min="6947" max="6947" width="6.85546875" customWidth="1"/>
    <col min="6948" max="6948" width="4.140625" customWidth="1"/>
    <col min="6949" max="6955" width="7.42578125" customWidth="1"/>
    <col min="6956" max="6956" width="5.140625" customWidth="1"/>
    <col min="6957" max="6957" width="7.5703125" customWidth="1"/>
    <col min="6958" max="6958" width="4.140625" customWidth="1"/>
    <col min="6959" max="6959" width="6.7109375" customWidth="1"/>
    <col min="6960" max="6960" width="8.42578125" customWidth="1"/>
    <col min="6961" max="6961" width="10.140625" customWidth="1"/>
    <col min="6962" max="6962" width="14" customWidth="1"/>
    <col min="6963" max="6963" width="11.140625" customWidth="1"/>
    <col min="6964" max="6965" width="11.42578125" customWidth="1"/>
    <col min="7171" max="7171" width="3" customWidth="1"/>
    <col min="7172" max="7176" width="22" customWidth="1"/>
    <col min="7177" max="7177" width="7.140625" customWidth="1"/>
    <col min="7178" max="7179" width="6.140625" customWidth="1"/>
    <col min="7180" max="7183" width="6.85546875" customWidth="1"/>
    <col min="7184" max="7185" width="8" customWidth="1"/>
    <col min="7186" max="7186" width="9.7109375" customWidth="1"/>
    <col min="7187" max="7187" width="8.42578125" customWidth="1"/>
    <col min="7188" max="7188" width="9" customWidth="1"/>
    <col min="7189" max="7189" width="5.28515625" customWidth="1"/>
    <col min="7190" max="7190" width="6" customWidth="1"/>
    <col min="7191" max="7191" width="5.140625" customWidth="1"/>
    <col min="7192" max="7192" width="5.28515625" customWidth="1"/>
    <col min="7193" max="7193" width="7.7109375" customWidth="1"/>
    <col min="7194" max="7194" width="4.85546875" customWidth="1"/>
    <col min="7195" max="7195" width="6.28515625" customWidth="1"/>
    <col min="7196" max="7196" width="5" customWidth="1"/>
    <col min="7197" max="7197" width="6.7109375" customWidth="1"/>
    <col min="7198" max="7198" width="4.5703125" customWidth="1"/>
    <col min="7199" max="7199" width="7.85546875" customWidth="1"/>
    <col min="7200" max="7200" width="5" customWidth="1"/>
    <col min="7201" max="7201" width="7.85546875" customWidth="1"/>
    <col min="7202" max="7202" width="4.42578125" customWidth="1"/>
    <col min="7203" max="7203" width="6.85546875" customWidth="1"/>
    <col min="7204" max="7204" width="4.140625" customWidth="1"/>
    <col min="7205" max="7211" width="7.42578125" customWidth="1"/>
    <col min="7212" max="7212" width="5.140625" customWidth="1"/>
    <col min="7213" max="7213" width="7.5703125" customWidth="1"/>
    <col min="7214" max="7214" width="4.140625" customWidth="1"/>
    <col min="7215" max="7215" width="6.7109375" customWidth="1"/>
    <col min="7216" max="7216" width="8.42578125" customWidth="1"/>
    <col min="7217" max="7217" width="10.140625" customWidth="1"/>
    <col min="7218" max="7218" width="14" customWidth="1"/>
    <col min="7219" max="7219" width="11.140625" customWidth="1"/>
    <col min="7220" max="7221" width="11.42578125" customWidth="1"/>
    <col min="7427" max="7427" width="3" customWidth="1"/>
    <col min="7428" max="7432" width="22" customWidth="1"/>
    <col min="7433" max="7433" width="7.140625" customWidth="1"/>
    <col min="7434" max="7435" width="6.140625" customWidth="1"/>
    <col min="7436" max="7439" width="6.85546875" customWidth="1"/>
    <col min="7440" max="7441" width="8" customWidth="1"/>
    <col min="7442" max="7442" width="9.7109375" customWidth="1"/>
    <col min="7443" max="7443" width="8.42578125" customWidth="1"/>
    <col min="7444" max="7444" width="9" customWidth="1"/>
    <col min="7445" max="7445" width="5.28515625" customWidth="1"/>
    <col min="7446" max="7446" width="6" customWidth="1"/>
    <col min="7447" max="7447" width="5.140625" customWidth="1"/>
    <col min="7448" max="7448" width="5.28515625" customWidth="1"/>
    <col min="7449" max="7449" width="7.7109375" customWidth="1"/>
    <col min="7450" max="7450" width="4.85546875" customWidth="1"/>
    <col min="7451" max="7451" width="6.28515625" customWidth="1"/>
    <col min="7452" max="7452" width="5" customWidth="1"/>
    <col min="7453" max="7453" width="6.7109375" customWidth="1"/>
    <col min="7454" max="7454" width="4.5703125" customWidth="1"/>
    <col min="7455" max="7455" width="7.85546875" customWidth="1"/>
    <col min="7456" max="7456" width="5" customWidth="1"/>
    <col min="7457" max="7457" width="7.85546875" customWidth="1"/>
    <col min="7458" max="7458" width="4.42578125" customWidth="1"/>
    <col min="7459" max="7459" width="6.85546875" customWidth="1"/>
    <col min="7460" max="7460" width="4.140625" customWidth="1"/>
    <col min="7461" max="7467" width="7.42578125" customWidth="1"/>
    <col min="7468" max="7468" width="5.140625" customWidth="1"/>
    <col min="7469" max="7469" width="7.5703125" customWidth="1"/>
    <col min="7470" max="7470" width="4.140625" customWidth="1"/>
    <col min="7471" max="7471" width="6.7109375" customWidth="1"/>
    <col min="7472" max="7472" width="8.42578125" customWidth="1"/>
    <col min="7473" max="7473" width="10.140625" customWidth="1"/>
    <col min="7474" max="7474" width="14" customWidth="1"/>
    <col min="7475" max="7475" width="11.140625" customWidth="1"/>
    <col min="7476" max="7477" width="11.42578125" customWidth="1"/>
    <col min="7683" max="7683" width="3" customWidth="1"/>
    <col min="7684" max="7688" width="22" customWidth="1"/>
    <col min="7689" max="7689" width="7.140625" customWidth="1"/>
    <col min="7690" max="7691" width="6.140625" customWidth="1"/>
    <col min="7692" max="7695" width="6.85546875" customWidth="1"/>
    <col min="7696" max="7697" width="8" customWidth="1"/>
    <col min="7698" max="7698" width="9.7109375" customWidth="1"/>
    <col min="7699" max="7699" width="8.42578125" customWidth="1"/>
    <col min="7700" max="7700" width="9" customWidth="1"/>
    <col min="7701" max="7701" width="5.28515625" customWidth="1"/>
    <col min="7702" max="7702" width="6" customWidth="1"/>
    <col min="7703" max="7703" width="5.140625" customWidth="1"/>
    <col min="7704" max="7704" width="5.28515625" customWidth="1"/>
    <col min="7705" max="7705" width="7.7109375" customWidth="1"/>
    <col min="7706" max="7706" width="4.85546875" customWidth="1"/>
    <col min="7707" max="7707" width="6.28515625" customWidth="1"/>
    <col min="7708" max="7708" width="5" customWidth="1"/>
    <col min="7709" max="7709" width="6.7109375" customWidth="1"/>
    <col min="7710" max="7710" width="4.5703125" customWidth="1"/>
    <col min="7711" max="7711" width="7.85546875" customWidth="1"/>
    <col min="7712" max="7712" width="5" customWidth="1"/>
    <col min="7713" max="7713" width="7.85546875" customWidth="1"/>
    <col min="7714" max="7714" width="4.42578125" customWidth="1"/>
    <col min="7715" max="7715" width="6.85546875" customWidth="1"/>
    <col min="7716" max="7716" width="4.140625" customWidth="1"/>
    <col min="7717" max="7723" width="7.42578125" customWidth="1"/>
    <col min="7724" max="7724" width="5.140625" customWidth="1"/>
    <col min="7725" max="7725" width="7.5703125" customWidth="1"/>
    <col min="7726" max="7726" width="4.140625" customWidth="1"/>
    <col min="7727" max="7727" width="6.7109375" customWidth="1"/>
    <col min="7728" max="7728" width="8.42578125" customWidth="1"/>
    <col min="7729" max="7729" width="10.140625" customWidth="1"/>
    <col min="7730" max="7730" width="14" customWidth="1"/>
    <col min="7731" max="7731" width="11.140625" customWidth="1"/>
    <col min="7732" max="7733" width="11.42578125" customWidth="1"/>
    <col min="7939" max="7939" width="3" customWidth="1"/>
    <col min="7940" max="7944" width="22" customWidth="1"/>
    <col min="7945" max="7945" width="7.140625" customWidth="1"/>
    <col min="7946" max="7947" width="6.140625" customWidth="1"/>
    <col min="7948" max="7951" width="6.85546875" customWidth="1"/>
    <col min="7952" max="7953" width="8" customWidth="1"/>
    <col min="7954" max="7954" width="9.7109375" customWidth="1"/>
    <col min="7955" max="7955" width="8.42578125" customWidth="1"/>
    <col min="7956" max="7956" width="9" customWidth="1"/>
    <col min="7957" max="7957" width="5.28515625" customWidth="1"/>
    <col min="7958" max="7958" width="6" customWidth="1"/>
    <col min="7959" max="7959" width="5.140625" customWidth="1"/>
    <col min="7960" max="7960" width="5.28515625" customWidth="1"/>
    <col min="7961" max="7961" width="7.7109375" customWidth="1"/>
    <col min="7962" max="7962" width="4.85546875" customWidth="1"/>
    <col min="7963" max="7963" width="6.28515625" customWidth="1"/>
    <col min="7964" max="7964" width="5" customWidth="1"/>
    <col min="7965" max="7965" width="6.7109375" customWidth="1"/>
    <col min="7966" max="7966" width="4.5703125" customWidth="1"/>
    <col min="7967" max="7967" width="7.85546875" customWidth="1"/>
    <col min="7968" max="7968" width="5" customWidth="1"/>
    <col min="7969" max="7969" width="7.85546875" customWidth="1"/>
    <col min="7970" max="7970" width="4.42578125" customWidth="1"/>
    <col min="7971" max="7971" width="6.85546875" customWidth="1"/>
    <col min="7972" max="7972" width="4.140625" customWidth="1"/>
    <col min="7973" max="7979" width="7.42578125" customWidth="1"/>
    <col min="7980" max="7980" width="5.140625" customWidth="1"/>
    <col min="7981" max="7981" width="7.5703125" customWidth="1"/>
    <col min="7982" max="7982" width="4.140625" customWidth="1"/>
    <col min="7983" max="7983" width="6.7109375" customWidth="1"/>
    <col min="7984" max="7984" width="8.42578125" customWidth="1"/>
    <col min="7985" max="7985" width="10.140625" customWidth="1"/>
    <col min="7986" max="7986" width="14" customWidth="1"/>
    <col min="7987" max="7987" width="11.140625" customWidth="1"/>
    <col min="7988" max="7989" width="11.42578125" customWidth="1"/>
    <col min="8195" max="8195" width="3" customWidth="1"/>
    <col min="8196" max="8200" width="22" customWidth="1"/>
    <col min="8201" max="8201" width="7.140625" customWidth="1"/>
    <col min="8202" max="8203" width="6.140625" customWidth="1"/>
    <col min="8204" max="8207" width="6.85546875" customWidth="1"/>
    <col min="8208" max="8209" width="8" customWidth="1"/>
    <col min="8210" max="8210" width="9.7109375" customWidth="1"/>
    <col min="8211" max="8211" width="8.42578125" customWidth="1"/>
    <col min="8212" max="8212" width="9" customWidth="1"/>
    <col min="8213" max="8213" width="5.28515625" customWidth="1"/>
    <col min="8214" max="8214" width="6" customWidth="1"/>
    <col min="8215" max="8215" width="5.140625" customWidth="1"/>
    <col min="8216" max="8216" width="5.28515625" customWidth="1"/>
    <col min="8217" max="8217" width="7.7109375" customWidth="1"/>
    <col min="8218" max="8218" width="4.85546875" customWidth="1"/>
    <col min="8219" max="8219" width="6.28515625" customWidth="1"/>
    <col min="8220" max="8220" width="5" customWidth="1"/>
    <col min="8221" max="8221" width="6.7109375" customWidth="1"/>
    <col min="8222" max="8222" width="4.5703125" customWidth="1"/>
    <col min="8223" max="8223" width="7.85546875" customWidth="1"/>
    <col min="8224" max="8224" width="5" customWidth="1"/>
    <col min="8225" max="8225" width="7.85546875" customWidth="1"/>
    <col min="8226" max="8226" width="4.42578125" customWidth="1"/>
    <col min="8227" max="8227" width="6.85546875" customWidth="1"/>
    <col min="8228" max="8228" width="4.140625" customWidth="1"/>
    <col min="8229" max="8235" width="7.42578125" customWidth="1"/>
    <col min="8236" max="8236" width="5.140625" customWidth="1"/>
    <col min="8237" max="8237" width="7.5703125" customWidth="1"/>
    <col min="8238" max="8238" width="4.140625" customWidth="1"/>
    <col min="8239" max="8239" width="6.7109375" customWidth="1"/>
    <col min="8240" max="8240" width="8.42578125" customWidth="1"/>
    <col min="8241" max="8241" width="10.140625" customWidth="1"/>
    <col min="8242" max="8242" width="14" customWidth="1"/>
    <col min="8243" max="8243" width="11.140625" customWidth="1"/>
    <col min="8244" max="8245" width="11.42578125" customWidth="1"/>
    <col min="8451" max="8451" width="3" customWidth="1"/>
    <col min="8452" max="8456" width="22" customWidth="1"/>
    <col min="8457" max="8457" width="7.140625" customWidth="1"/>
    <col min="8458" max="8459" width="6.140625" customWidth="1"/>
    <col min="8460" max="8463" width="6.85546875" customWidth="1"/>
    <col min="8464" max="8465" width="8" customWidth="1"/>
    <col min="8466" max="8466" width="9.7109375" customWidth="1"/>
    <col min="8467" max="8467" width="8.42578125" customWidth="1"/>
    <col min="8468" max="8468" width="9" customWidth="1"/>
    <col min="8469" max="8469" width="5.28515625" customWidth="1"/>
    <col min="8470" max="8470" width="6" customWidth="1"/>
    <col min="8471" max="8471" width="5.140625" customWidth="1"/>
    <col min="8472" max="8472" width="5.28515625" customWidth="1"/>
    <col min="8473" max="8473" width="7.7109375" customWidth="1"/>
    <col min="8474" max="8474" width="4.85546875" customWidth="1"/>
    <col min="8475" max="8475" width="6.28515625" customWidth="1"/>
    <col min="8476" max="8476" width="5" customWidth="1"/>
    <col min="8477" max="8477" width="6.7109375" customWidth="1"/>
    <col min="8478" max="8478" width="4.5703125" customWidth="1"/>
    <col min="8479" max="8479" width="7.85546875" customWidth="1"/>
    <col min="8480" max="8480" width="5" customWidth="1"/>
    <col min="8481" max="8481" width="7.85546875" customWidth="1"/>
    <col min="8482" max="8482" width="4.42578125" customWidth="1"/>
    <col min="8483" max="8483" width="6.85546875" customWidth="1"/>
    <col min="8484" max="8484" width="4.140625" customWidth="1"/>
    <col min="8485" max="8491" width="7.42578125" customWidth="1"/>
    <col min="8492" max="8492" width="5.140625" customWidth="1"/>
    <col min="8493" max="8493" width="7.5703125" customWidth="1"/>
    <col min="8494" max="8494" width="4.140625" customWidth="1"/>
    <col min="8495" max="8495" width="6.7109375" customWidth="1"/>
    <col min="8496" max="8496" width="8.42578125" customWidth="1"/>
    <col min="8497" max="8497" width="10.140625" customWidth="1"/>
    <col min="8498" max="8498" width="14" customWidth="1"/>
    <col min="8499" max="8499" width="11.140625" customWidth="1"/>
    <col min="8500" max="8501" width="11.42578125" customWidth="1"/>
    <col min="8707" max="8707" width="3" customWidth="1"/>
    <col min="8708" max="8712" width="22" customWidth="1"/>
    <col min="8713" max="8713" width="7.140625" customWidth="1"/>
    <col min="8714" max="8715" width="6.140625" customWidth="1"/>
    <col min="8716" max="8719" width="6.85546875" customWidth="1"/>
    <col min="8720" max="8721" width="8" customWidth="1"/>
    <col min="8722" max="8722" width="9.7109375" customWidth="1"/>
    <col min="8723" max="8723" width="8.42578125" customWidth="1"/>
    <col min="8724" max="8724" width="9" customWidth="1"/>
    <col min="8725" max="8725" width="5.28515625" customWidth="1"/>
    <col min="8726" max="8726" width="6" customWidth="1"/>
    <col min="8727" max="8727" width="5.140625" customWidth="1"/>
    <col min="8728" max="8728" width="5.28515625" customWidth="1"/>
    <col min="8729" max="8729" width="7.7109375" customWidth="1"/>
    <col min="8730" max="8730" width="4.85546875" customWidth="1"/>
    <col min="8731" max="8731" width="6.28515625" customWidth="1"/>
    <col min="8732" max="8732" width="5" customWidth="1"/>
    <col min="8733" max="8733" width="6.7109375" customWidth="1"/>
    <col min="8734" max="8734" width="4.5703125" customWidth="1"/>
    <col min="8735" max="8735" width="7.85546875" customWidth="1"/>
    <col min="8736" max="8736" width="5" customWidth="1"/>
    <col min="8737" max="8737" width="7.85546875" customWidth="1"/>
    <col min="8738" max="8738" width="4.42578125" customWidth="1"/>
    <col min="8739" max="8739" width="6.85546875" customWidth="1"/>
    <col min="8740" max="8740" width="4.140625" customWidth="1"/>
    <col min="8741" max="8747" width="7.42578125" customWidth="1"/>
    <col min="8748" max="8748" width="5.140625" customWidth="1"/>
    <col min="8749" max="8749" width="7.5703125" customWidth="1"/>
    <col min="8750" max="8750" width="4.140625" customWidth="1"/>
    <col min="8751" max="8751" width="6.7109375" customWidth="1"/>
    <col min="8752" max="8752" width="8.42578125" customWidth="1"/>
    <col min="8753" max="8753" width="10.140625" customWidth="1"/>
    <col min="8754" max="8754" width="14" customWidth="1"/>
    <col min="8755" max="8755" width="11.140625" customWidth="1"/>
    <col min="8756" max="8757" width="11.42578125" customWidth="1"/>
    <col min="8963" max="8963" width="3" customWidth="1"/>
    <col min="8964" max="8968" width="22" customWidth="1"/>
    <col min="8969" max="8969" width="7.140625" customWidth="1"/>
    <col min="8970" max="8971" width="6.140625" customWidth="1"/>
    <col min="8972" max="8975" width="6.85546875" customWidth="1"/>
    <col min="8976" max="8977" width="8" customWidth="1"/>
    <col min="8978" max="8978" width="9.7109375" customWidth="1"/>
    <col min="8979" max="8979" width="8.42578125" customWidth="1"/>
    <col min="8980" max="8980" width="9" customWidth="1"/>
    <col min="8981" max="8981" width="5.28515625" customWidth="1"/>
    <col min="8982" max="8982" width="6" customWidth="1"/>
    <col min="8983" max="8983" width="5.140625" customWidth="1"/>
    <col min="8984" max="8984" width="5.28515625" customWidth="1"/>
    <col min="8985" max="8985" width="7.7109375" customWidth="1"/>
    <col min="8986" max="8986" width="4.85546875" customWidth="1"/>
    <col min="8987" max="8987" width="6.28515625" customWidth="1"/>
    <col min="8988" max="8988" width="5" customWidth="1"/>
    <col min="8989" max="8989" width="6.7109375" customWidth="1"/>
    <col min="8990" max="8990" width="4.5703125" customWidth="1"/>
    <col min="8991" max="8991" width="7.85546875" customWidth="1"/>
    <col min="8992" max="8992" width="5" customWidth="1"/>
    <col min="8993" max="8993" width="7.85546875" customWidth="1"/>
    <col min="8994" max="8994" width="4.42578125" customWidth="1"/>
    <col min="8995" max="8995" width="6.85546875" customWidth="1"/>
    <col min="8996" max="8996" width="4.140625" customWidth="1"/>
    <col min="8997" max="9003" width="7.42578125" customWidth="1"/>
    <col min="9004" max="9004" width="5.140625" customWidth="1"/>
    <col min="9005" max="9005" width="7.5703125" customWidth="1"/>
    <col min="9006" max="9006" width="4.140625" customWidth="1"/>
    <col min="9007" max="9007" width="6.7109375" customWidth="1"/>
    <col min="9008" max="9008" width="8.42578125" customWidth="1"/>
    <col min="9009" max="9009" width="10.140625" customWidth="1"/>
    <col min="9010" max="9010" width="14" customWidth="1"/>
    <col min="9011" max="9011" width="11.140625" customWidth="1"/>
    <col min="9012" max="9013" width="11.42578125" customWidth="1"/>
    <col min="9219" max="9219" width="3" customWidth="1"/>
    <col min="9220" max="9224" width="22" customWidth="1"/>
    <col min="9225" max="9225" width="7.140625" customWidth="1"/>
    <col min="9226" max="9227" width="6.140625" customWidth="1"/>
    <col min="9228" max="9231" width="6.85546875" customWidth="1"/>
    <col min="9232" max="9233" width="8" customWidth="1"/>
    <col min="9234" max="9234" width="9.7109375" customWidth="1"/>
    <col min="9235" max="9235" width="8.42578125" customWidth="1"/>
    <col min="9236" max="9236" width="9" customWidth="1"/>
    <col min="9237" max="9237" width="5.28515625" customWidth="1"/>
    <col min="9238" max="9238" width="6" customWidth="1"/>
    <col min="9239" max="9239" width="5.140625" customWidth="1"/>
    <col min="9240" max="9240" width="5.28515625" customWidth="1"/>
    <col min="9241" max="9241" width="7.7109375" customWidth="1"/>
    <col min="9242" max="9242" width="4.85546875" customWidth="1"/>
    <col min="9243" max="9243" width="6.28515625" customWidth="1"/>
    <col min="9244" max="9244" width="5" customWidth="1"/>
    <col min="9245" max="9245" width="6.7109375" customWidth="1"/>
    <col min="9246" max="9246" width="4.5703125" customWidth="1"/>
    <col min="9247" max="9247" width="7.85546875" customWidth="1"/>
    <col min="9248" max="9248" width="5" customWidth="1"/>
    <col min="9249" max="9249" width="7.85546875" customWidth="1"/>
    <col min="9250" max="9250" width="4.42578125" customWidth="1"/>
    <col min="9251" max="9251" width="6.85546875" customWidth="1"/>
    <col min="9252" max="9252" width="4.140625" customWidth="1"/>
    <col min="9253" max="9259" width="7.42578125" customWidth="1"/>
    <col min="9260" max="9260" width="5.140625" customWidth="1"/>
    <col min="9261" max="9261" width="7.5703125" customWidth="1"/>
    <col min="9262" max="9262" width="4.140625" customWidth="1"/>
    <col min="9263" max="9263" width="6.7109375" customWidth="1"/>
    <col min="9264" max="9264" width="8.42578125" customWidth="1"/>
    <col min="9265" max="9265" width="10.140625" customWidth="1"/>
    <col min="9266" max="9266" width="14" customWidth="1"/>
    <col min="9267" max="9267" width="11.140625" customWidth="1"/>
    <col min="9268" max="9269" width="11.42578125" customWidth="1"/>
    <col min="9475" max="9475" width="3" customWidth="1"/>
    <col min="9476" max="9480" width="22" customWidth="1"/>
    <col min="9481" max="9481" width="7.140625" customWidth="1"/>
    <col min="9482" max="9483" width="6.140625" customWidth="1"/>
    <col min="9484" max="9487" width="6.85546875" customWidth="1"/>
    <col min="9488" max="9489" width="8" customWidth="1"/>
    <col min="9490" max="9490" width="9.7109375" customWidth="1"/>
    <col min="9491" max="9491" width="8.42578125" customWidth="1"/>
    <col min="9492" max="9492" width="9" customWidth="1"/>
    <col min="9493" max="9493" width="5.28515625" customWidth="1"/>
    <col min="9494" max="9494" width="6" customWidth="1"/>
    <col min="9495" max="9495" width="5.140625" customWidth="1"/>
    <col min="9496" max="9496" width="5.28515625" customWidth="1"/>
    <col min="9497" max="9497" width="7.7109375" customWidth="1"/>
    <col min="9498" max="9498" width="4.85546875" customWidth="1"/>
    <col min="9499" max="9499" width="6.28515625" customWidth="1"/>
    <col min="9500" max="9500" width="5" customWidth="1"/>
    <col min="9501" max="9501" width="6.7109375" customWidth="1"/>
    <col min="9502" max="9502" width="4.5703125" customWidth="1"/>
    <col min="9503" max="9503" width="7.85546875" customWidth="1"/>
    <col min="9504" max="9504" width="5" customWidth="1"/>
    <col min="9505" max="9505" width="7.85546875" customWidth="1"/>
    <col min="9506" max="9506" width="4.42578125" customWidth="1"/>
    <col min="9507" max="9507" width="6.85546875" customWidth="1"/>
    <col min="9508" max="9508" width="4.140625" customWidth="1"/>
    <col min="9509" max="9515" width="7.42578125" customWidth="1"/>
    <col min="9516" max="9516" width="5.140625" customWidth="1"/>
    <col min="9517" max="9517" width="7.5703125" customWidth="1"/>
    <col min="9518" max="9518" width="4.140625" customWidth="1"/>
    <col min="9519" max="9519" width="6.7109375" customWidth="1"/>
    <col min="9520" max="9520" width="8.42578125" customWidth="1"/>
    <col min="9521" max="9521" width="10.140625" customWidth="1"/>
    <col min="9522" max="9522" width="14" customWidth="1"/>
    <col min="9523" max="9523" width="11.140625" customWidth="1"/>
    <col min="9524" max="9525" width="11.42578125" customWidth="1"/>
    <col min="9731" max="9731" width="3" customWidth="1"/>
    <col min="9732" max="9736" width="22" customWidth="1"/>
    <col min="9737" max="9737" width="7.140625" customWidth="1"/>
    <col min="9738" max="9739" width="6.140625" customWidth="1"/>
    <col min="9740" max="9743" width="6.85546875" customWidth="1"/>
    <col min="9744" max="9745" width="8" customWidth="1"/>
    <col min="9746" max="9746" width="9.7109375" customWidth="1"/>
    <col min="9747" max="9747" width="8.42578125" customWidth="1"/>
    <col min="9748" max="9748" width="9" customWidth="1"/>
    <col min="9749" max="9749" width="5.28515625" customWidth="1"/>
    <col min="9750" max="9750" width="6" customWidth="1"/>
    <col min="9751" max="9751" width="5.140625" customWidth="1"/>
    <col min="9752" max="9752" width="5.28515625" customWidth="1"/>
    <col min="9753" max="9753" width="7.7109375" customWidth="1"/>
    <col min="9754" max="9754" width="4.85546875" customWidth="1"/>
    <col min="9755" max="9755" width="6.28515625" customWidth="1"/>
    <col min="9756" max="9756" width="5" customWidth="1"/>
    <col min="9757" max="9757" width="6.7109375" customWidth="1"/>
    <col min="9758" max="9758" width="4.5703125" customWidth="1"/>
    <col min="9759" max="9759" width="7.85546875" customWidth="1"/>
    <col min="9760" max="9760" width="5" customWidth="1"/>
    <col min="9761" max="9761" width="7.85546875" customWidth="1"/>
    <col min="9762" max="9762" width="4.42578125" customWidth="1"/>
    <col min="9763" max="9763" width="6.85546875" customWidth="1"/>
    <col min="9764" max="9764" width="4.140625" customWidth="1"/>
    <col min="9765" max="9771" width="7.42578125" customWidth="1"/>
    <col min="9772" max="9772" width="5.140625" customWidth="1"/>
    <col min="9773" max="9773" width="7.5703125" customWidth="1"/>
    <col min="9774" max="9774" width="4.140625" customWidth="1"/>
    <col min="9775" max="9775" width="6.7109375" customWidth="1"/>
    <col min="9776" max="9776" width="8.42578125" customWidth="1"/>
    <col min="9777" max="9777" width="10.140625" customWidth="1"/>
    <col min="9778" max="9778" width="14" customWidth="1"/>
    <col min="9779" max="9779" width="11.140625" customWidth="1"/>
    <col min="9780" max="9781" width="11.42578125" customWidth="1"/>
    <col min="9987" max="9987" width="3" customWidth="1"/>
    <col min="9988" max="9992" width="22" customWidth="1"/>
    <col min="9993" max="9993" width="7.140625" customWidth="1"/>
    <col min="9994" max="9995" width="6.140625" customWidth="1"/>
    <col min="9996" max="9999" width="6.85546875" customWidth="1"/>
    <col min="10000" max="10001" width="8" customWidth="1"/>
    <col min="10002" max="10002" width="9.7109375" customWidth="1"/>
    <col min="10003" max="10003" width="8.42578125" customWidth="1"/>
    <col min="10004" max="10004" width="9" customWidth="1"/>
    <col min="10005" max="10005" width="5.28515625" customWidth="1"/>
    <col min="10006" max="10006" width="6" customWidth="1"/>
    <col min="10007" max="10007" width="5.140625" customWidth="1"/>
    <col min="10008" max="10008" width="5.28515625" customWidth="1"/>
    <col min="10009" max="10009" width="7.7109375" customWidth="1"/>
    <col min="10010" max="10010" width="4.85546875" customWidth="1"/>
    <col min="10011" max="10011" width="6.28515625" customWidth="1"/>
    <col min="10012" max="10012" width="5" customWidth="1"/>
    <col min="10013" max="10013" width="6.7109375" customWidth="1"/>
    <col min="10014" max="10014" width="4.5703125" customWidth="1"/>
    <col min="10015" max="10015" width="7.85546875" customWidth="1"/>
    <col min="10016" max="10016" width="5" customWidth="1"/>
    <col min="10017" max="10017" width="7.85546875" customWidth="1"/>
    <col min="10018" max="10018" width="4.42578125" customWidth="1"/>
    <col min="10019" max="10019" width="6.85546875" customWidth="1"/>
    <col min="10020" max="10020" width="4.140625" customWidth="1"/>
    <col min="10021" max="10027" width="7.42578125" customWidth="1"/>
    <col min="10028" max="10028" width="5.140625" customWidth="1"/>
    <col min="10029" max="10029" width="7.5703125" customWidth="1"/>
    <col min="10030" max="10030" width="4.140625" customWidth="1"/>
    <col min="10031" max="10031" width="6.7109375" customWidth="1"/>
    <col min="10032" max="10032" width="8.42578125" customWidth="1"/>
    <col min="10033" max="10033" width="10.140625" customWidth="1"/>
    <col min="10034" max="10034" width="14" customWidth="1"/>
    <col min="10035" max="10035" width="11.140625" customWidth="1"/>
    <col min="10036" max="10037" width="11.42578125" customWidth="1"/>
    <col min="10243" max="10243" width="3" customWidth="1"/>
    <col min="10244" max="10248" width="22" customWidth="1"/>
    <col min="10249" max="10249" width="7.140625" customWidth="1"/>
    <col min="10250" max="10251" width="6.140625" customWidth="1"/>
    <col min="10252" max="10255" width="6.85546875" customWidth="1"/>
    <col min="10256" max="10257" width="8" customWidth="1"/>
    <col min="10258" max="10258" width="9.7109375" customWidth="1"/>
    <col min="10259" max="10259" width="8.42578125" customWidth="1"/>
    <col min="10260" max="10260" width="9" customWidth="1"/>
    <col min="10261" max="10261" width="5.28515625" customWidth="1"/>
    <col min="10262" max="10262" width="6" customWidth="1"/>
    <col min="10263" max="10263" width="5.140625" customWidth="1"/>
    <col min="10264" max="10264" width="5.28515625" customWidth="1"/>
    <col min="10265" max="10265" width="7.7109375" customWidth="1"/>
    <col min="10266" max="10266" width="4.85546875" customWidth="1"/>
    <col min="10267" max="10267" width="6.28515625" customWidth="1"/>
    <col min="10268" max="10268" width="5" customWidth="1"/>
    <col min="10269" max="10269" width="6.7109375" customWidth="1"/>
    <col min="10270" max="10270" width="4.5703125" customWidth="1"/>
    <col min="10271" max="10271" width="7.85546875" customWidth="1"/>
    <col min="10272" max="10272" width="5" customWidth="1"/>
    <col min="10273" max="10273" width="7.85546875" customWidth="1"/>
    <col min="10274" max="10274" width="4.42578125" customWidth="1"/>
    <col min="10275" max="10275" width="6.85546875" customWidth="1"/>
    <col min="10276" max="10276" width="4.140625" customWidth="1"/>
    <col min="10277" max="10283" width="7.42578125" customWidth="1"/>
    <col min="10284" max="10284" width="5.140625" customWidth="1"/>
    <col min="10285" max="10285" width="7.5703125" customWidth="1"/>
    <col min="10286" max="10286" width="4.140625" customWidth="1"/>
    <col min="10287" max="10287" width="6.7109375" customWidth="1"/>
    <col min="10288" max="10288" width="8.42578125" customWidth="1"/>
    <col min="10289" max="10289" width="10.140625" customWidth="1"/>
    <col min="10290" max="10290" width="14" customWidth="1"/>
    <col min="10291" max="10291" width="11.140625" customWidth="1"/>
    <col min="10292" max="10293" width="11.42578125" customWidth="1"/>
    <col min="10499" max="10499" width="3" customWidth="1"/>
    <col min="10500" max="10504" width="22" customWidth="1"/>
    <col min="10505" max="10505" width="7.140625" customWidth="1"/>
    <col min="10506" max="10507" width="6.140625" customWidth="1"/>
    <col min="10508" max="10511" width="6.85546875" customWidth="1"/>
    <col min="10512" max="10513" width="8" customWidth="1"/>
    <col min="10514" max="10514" width="9.7109375" customWidth="1"/>
    <col min="10515" max="10515" width="8.42578125" customWidth="1"/>
    <col min="10516" max="10516" width="9" customWidth="1"/>
    <col min="10517" max="10517" width="5.28515625" customWidth="1"/>
    <col min="10518" max="10518" width="6" customWidth="1"/>
    <col min="10519" max="10519" width="5.140625" customWidth="1"/>
    <col min="10520" max="10520" width="5.28515625" customWidth="1"/>
    <col min="10521" max="10521" width="7.7109375" customWidth="1"/>
    <col min="10522" max="10522" width="4.85546875" customWidth="1"/>
    <col min="10523" max="10523" width="6.28515625" customWidth="1"/>
    <col min="10524" max="10524" width="5" customWidth="1"/>
    <col min="10525" max="10525" width="6.7109375" customWidth="1"/>
    <col min="10526" max="10526" width="4.5703125" customWidth="1"/>
    <col min="10527" max="10527" width="7.85546875" customWidth="1"/>
    <col min="10528" max="10528" width="5" customWidth="1"/>
    <col min="10529" max="10529" width="7.85546875" customWidth="1"/>
    <col min="10530" max="10530" width="4.42578125" customWidth="1"/>
    <col min="10531" max="10531" width="6.85546875" customWidth="1"/>
    <col min="10532" max="10532" width="4.140625" customWidth="1"/>
    <col min="10533" max="10539" width="7.42578125" customWidth="1"/>
    <col min="10540" max="10540" width="5.140625" customWidth="1"/>
    <col min="10541" max="10541" width="7.5703125" customWidth="1"/>
    <col min="10542" max="10542" width="4.140625" customWidth="1"/>
    <col min="10543" max="10543" width="6.7109375" customWidth="1"/>
    <col min="10544" max="10544" width="8.42578125" customWidth="1"/>
    <col min="10545" max="10545" width="10.140625" customWidth="1"/>
    <col min="10546" max="10546" width="14" customWidth="1"/>
    <col min="10547" max="10547" width="11.140625" customWidth="1"/>
    <col min="10548" max="10549" width="11.42578125" customWidth="1"/>
    <col min="10755" max="10755" width="3" customWidth="1"/>
    <col min="10756" max="10760" width="22" customWidth="1"/>
    <col min="10761" max="10761" width="7.140625" customWidth="1"/>
    <col min="10762" max="10763" width="6.140625" customWidth="1"/>
    <col min="10764" max="10767" width="6.85546875" customWidth="1"/>
    <col min="10768" max="10769" width="8" customWidth="1"/>
    <col min="10770" max="10770" width="9.7109375" customWidth="1"/>
    <col min="10771" max="10771" width="8.42578125" customWidth="1"/>
    <col min="10772" max="10772" width="9" customWidth="1"/>
    <col min="10773" max="10773" width="5.28515625" customWidth="1"/>
    <col min="10774" max="10774" width="6" customWidth="1"/>
    <col min="10775" max="10775" width="5.140625" customWidth="1"/>
    <col min="10776" max="10776" width="5.28515625" customWidth="1"/>
    <col min="10777" max="10777" width="7.7109375" customWidth="1"/>
    <col min="10778" max="10778" width="4.85546875" customWidth="1"/>
    <col min="10779" max="10779" width="6.28515625" customWidth="1"/>
    <col min="10780" max="10780" width="5" customWidth="1"/>
    <col min="10781" max="10781" width="6.7109375" customWidth="1"/>
    <col min="10782" max="10782" width="4.5703125" customWidth="1"/>
    <col min="10783" max="10783" width="7.85546875" customWidth="1"/>
    <col min="10784" max="10784" width="5" customWidth="1"/>
    <col min="10785" max="10785" width="7.85546875" customWidth="1"/>
    <col min="10786" max="10786" width="4.42578125" customWidth="1"/>
    <col min="10787" max="10787" width="6.85546875" customWidth="1"/>
    <col min="10788" max="10788" width="4.140625" customWidth="1"/>
    <col min="10789" max="10795" width="7.42578125" customWidth="1"/>
    <col min="10796" max="10796" width="5.140625" customWidth="1"/>
    <col min="10797" max="10797" width="7.5703125" customWidth="1"/>
    <col min="10798" max="10798" width="4.140625" customWidth="1"/>
    <col min="10799" max="10799" width="6.7109375" customWidth="1"/>
    <col min="10800" max="10800" width="8.42578125" customWidth="1"/>
    <col min="10801" max="10801" width="10.140625" customWidth="1"/>
    <col min="10802" max="10802" width="14" customWidth="1"/>
    <col min="10803" max="10803" width="11.140625" customWidth="1"/>
    <col min="10804" max="10805" width="11.42578125" customWidth="1"/>
    <col min="11011" max="11011" width="3" customWidth="1"/>
    <col min="11012" max="11016" width="22" customWidth="1"/>
    <col min="11017" max="11017" width="7.140625" customWidth="1"/>
    <col min="11018" max="11019" width="6.140625" customWidth="1"/>
    <col min="11020" max="11023" width="6.85546875" customWidth="1"/>
    <col min="11024" max="11025" width="8" customWidth="1"/>
    <col min="11026" max="11026" width="9.7109375" customWidth="1"/>
    <col min="11027" max="11027" width="8.42578125" customWidth="1"/>
    <col min="11028" max="11028" width="9" customWidth="1"/>
    <col min="11029" max="11029" width="5.28515625" customWidth="1"/>
    <col min="11030" max="11030" width="6" customWidth="1"/>
    <col min="11031" max="11031" width="5.140625" customWidth="1"/>
    <col min="11032" max="11032" width="5.28515625" customWidth="1"/>
    <col min="11033" max="11033" width="7.7109375" customWidth="1"/>
    <col min="11034" max="11034" width="4.85546875" customWidth="1"/>
    <col min="11035" max="11035" width="6.28515625" customWidth="1"/>
    <col min="11036" max="11036" width="5" customWidth="1"/>
    <col min="11037" max="11037" width="6.7109375" customWidth="1"/>
    <col min="11038" max="11038" width="4.5703125" customWidth="1"/>
    <col min="11039" max="11039" width="7.85546875" customWidth="1"/>
    <col min="11040" max="11040" width="5" customWidth="1"/>
    <col min="11041" max="11041" width="7.85546875" customWidth="1"/>
    <col min="11042" max="11042" width="4.42578125" customWidth="1"/>
    <col min="11043" max="11043" width="6.85546875" customWidth="1"/>
    <col min="11044" max="11044" width="4.140625" customWidth="1"/>
    <col min="11045" max="11051" width="7.42578125" customWidth="1"/>
    <col min="11052" max="11052" width="5.140625" customWidth="1"/>
    <col min="11053" max="11053" width="7.5703125" customWidth="1"/>
    <col min="11054" max="11054" width="4.140625" customWidth="1"/>
    <col min="11055" max="11055" width="6.7109375" customWidth="1"/>
    <col min="11056" max="11056" width="8.42578125" customWidth="1"/>
    <col min="11057" max="11057" width="10.140625" customWidth="1"/>
    <col min="11058" max="11058" width="14" customWidth="1"/>
    <col min="11059" max="11059" width="11.140625" customWidth="1"/>
    <col min="11060" max="11061" width="11.42578125" customWidth="1"/>
    <col min="11267" max="11267" width="3" customWidth="1"/>
    <col min="11268" max="11272" width="22" customWidth="1"/>
    <col min="11273" max="11273" width="7.140625" customWidth="1"/>
    <col min="11274" max="11275" width="6.140625" customWidth="1"/>
    <col min="11276" max="11279" width="6.85546875" customWidth="1"/>
    <col min="11280" max="11281" width="8" customWidth="1"/>
    <col min="11282" max="11282" width="9.7109375" customWidth="1"/>
    <col min="11283" max="11283" width="8.42578125" customWidth="1"/>
    <col min="11284" max="11284" width="9" customWidth="1"/>
    <col min="11285" max="11285" width="5.28515625" customWidth="1"/>
    <col min="11286" max="11286" width="6" customWidth="1"/>
    <col min="11287" max="11287" width="5.140625" customWidth="1"/>
    <col min="11288" max="11288" width="5.28515625" customWidth="1"/>
    <col min="11289" max="11289" width="7.7109375" customWidth="1"/>
    <col min="11290" max="11290" width="4.85546875" customWidth="1"/>
    <col min="11291" max="11291" width="6.28515625" customWidth="1"/>
    <col min="11292" max="11292" width="5" customWidth="1"/>
    <col min="11293" max="11293" width="6.7109375" customWidth="1"/>
    <col min="11294" max="11294" width="4.5703125" customWidth="1"/>
    <col min="11295" max="11295" width="7.85546875" customWidth="1"/>
    <col min="11296" max="11296" width="5" customWidth="1"/>
    <col min="11297" max="11297" width="7.85546875" customWidth="1"/>
    <col min="11298" max="11298" width="4.42578125" customWidth="1"/>
    <col min="11299" max="11299" width="6.85546875" customWidth="1"/>
    <col min="11300" max="11300" width="4.140625" customWidth="1"/>
    <col min="11301" max="11307" width="7.42578125" customWidth="1"/>
    <col min="11308" max="11308" width="5.140625" customWidth="1"/>
    <col min="11309" max="11309" width="7.5703125" customWidth="1"/>
    <col min="11310" max="11310" width="4.140625" customWidth="1"/>
    <col min="11311" max="11311" width="6.7109375" customWidth="1"/>
    <col min="11312" max="11312" width="8.42578125" customWidth="1"/>
    <col min="11313" max="11313" width="10.140625" customWidth="1"/>
    <col min="11314" max="11314" width="14" customWidth="1"/>
    <col min="11315" max="11315" width="11.140625" customWidth="1"/>
    <col min="11316" max="11317" width="11.42578125" customWidth="1"/>
    <col min="11523" max="11523" width="3" customWidth="1"/>
    <col min="11524" max="11528" width="22" customWidth="1"/>
    <col min="11529" max="11529" width="7.140625" customWidth="1"/>
    <col min="11530" max="11531" width="6.140625" customWidth="1"/>
    <col min="11532" max="11535" width="6.85546875" customWidth="1"/>
    <col min="11536" max="11537" width="8" customWidth="1"/>
    <col min="11538" max="11538" width="9.7109375" customWidth="1"/>
    <col min="11539" max="11539" width="8.42578125" customWidth="1"/>
    <col min="11540" max="11540" width="9" customWidth="1"/>
    <col min="11541" max="11541" width="5.28515625" customWidth="1"/>
    <col min="11542" max="11542" width="6" customWidth="1"/>
    <col min="11543" max="11543" width="5.140625" customWidth="1"/>
    <col min="11544" max="11544" width="5.28515625" customWidth="1"/>
    <col min="11545" max="11545" width="7.7109375" customWidth="1"/>
    <col min="11546" max="11546" width="4.85546875" customWidth="1"/>
    <col min="11547" max="11547" width="6.28515625" customWidth="1"/>
    <col min="11548" max="11548" width="5" customWidth="1"/>
    <col min="11549" max="11549" width="6.7109375" customWidth="1"/>
    <col min="11550" max="11550" width="4.5703125" customWidth="1"/>
    <col min="11551" max="11551" width="7.85546875" customWidth="1"/>
    <col min="11552" max="11552" width="5" customWidth="1"/>
    <col min="11553" max="11553" width="7.85546875" customWidth="1"/>
    <col min="11554" max="11554" width="4.42578125" customWidth="1"/>
    <col min="11555" max="11555" width="6.85546875" customWidth="1"/>
    <col min="11556" max="11556" width="4.140625" customWidth="1"/>
    <col min="11557" max="11563" width="7.42578125" customWidth="1"/>
    <col min="11564" max="11564" width="5.140625" customWidth="1"/>
    <col min="11565" max="11565" width="7.5703125" customWidth="1"/>
    <col min="11566" max="11566" width="4.140625" customWidth="1"/>
    <col min="11567" max="11567" width="6.7109375" customWidth="1"/>
    <col min="11568" max="11568" width="8.42578125" customWidth="1"/>
    <col min="11569" max="11569" width="10.140625" customWidth="1"/>
    <col min="11570" max="11570" width="14" customWidth="1"/>
    <col min="11571" max="11571" width="11.140625" customWidth="1"/>
    <col min="11572" max="11573" width="11.42578125" customWidth="1"/>
    <col min="11779" max="11779" width="3" customWidth="1"/>
    <col min="11780" max="11784" width="22" customWidth="1"/>
    <col min="11785" max="11785" width="7.140625" customWidth="1"/>
    <col min="11786" max="11787" width="6.140625" customWidth="1"/>
    <col min="11788" max="11791" width="6.85546875" customWidth="1"/>
    <col min="11792" max="11793" width="8" customWidth="1"/>
    <col min="11794" max="11794" width="9.7109375" customWidth="1"/>
    <col min="11795" max="11795" width="8.42578125" customWidth="1"/>
    <col min="11796" max="11796" width="9" customWidth="1"/>
    <col min="11797" max="11797" width="5.28515625" customWidth="1"/>
    <col min="11798" max="11798" width="6" customWidth="1"/>
    <col min="11799" max="11799" width="5.140625" customWidth="1"/>
    <col min="11800" max="11800" width="5.28515625" customWidth="1"/>
    <col min="11801" max="11801" width="7.7109375" customWidth="1"/>
    <col min="11802" max="11802" width="4.85546875" customWidth="1"/>
    <col min="11803" max="11803" width="6.28515625" customWidth="1"/>
    <col min="11804" max="11804" width="5" customWidth="1"/>
    <col min="11805" max="11805" width="6.7109375" customWidth="1"/>
    <col min="11806" max="11806" width="4.5703125" customWidth="1"/>
    <col min="11807" max="11807" width="7.85546875" customWidth="1"/>
    <col min="11808" max="11808" width="5" customWidth="1"/>
    <col min="11809" max="11809" width="7.85546875" customWidth="1"/>
    <col min="11810" max="11810" width="4.42578125" customWidth="1"/>
    <col min="11811" max="11811" width="6.85546875" customWidth="1"/>
    <col min="11812" max="11812" width="4.140625" customWidth="1"/>
    <col min="11813" max="11819" width="7.42578125" customWidth="1"/>
    <col min="11820" max="11820" width="5.140625" customWidth="1"/>
    <col min="11821" max="11821" width="7.5703125" customWidth="1"/>
    <col min="11822" max="11822" width="4.140625" customWidth="1"/>
    <col min="11823" max="11823" width="6.7109375" customWidth="1"/>
    <col min="11824" max="11824" width="8.42578125" customWidth="1"/>
    <col min="11825" max="11825" width="10.140625" customWidth="1"/>
    <col min="11826" max="11826" width="14" customWidth="1"/>
    <col min="11827" max="11827" width="11.140625" customWidth="1"/>
    <col min="11828" max="11829" width="11.42578125" customWidth="1"/>
    <col min="12035" max="12035" width="3" customWidth="1"/>
    <col min="12036" max="12040" width="22" customWidth="1"/>
    <col min="12041" max="12041" width="7.140625" customWidth="1"/>
    <col min="12042" max="12043" width="6.140625" customWidth="1"/>
    <col min="12044" max="12047" width="6.85546875" customWidth="1"/>
    <col min="12048" max="12049" width="8" customWidth="1"/>
    <col min="12050" max="12050" width="9.7109375" customWidth="1"/>
    <col min="12051" max="12051" width="8.42578125" customWidth="1"/>
    <col min="12052" max="12052" width="9" customWidth="1"/>
    <col min="12053" max="12053" width="5.28515625" customWidth="1"/>
    <col min="12054" max="12054" width="6" customWidth="1"/>
    <col min="12055" max="12055" width="5.140625" customWidth="1"/>
    <col min="12056" max="12056" width="5.28515625" customWidth="1"/>
    <col min="12057" max="12057" width="7.7109375" customWidth="1"/>
    <col min="12058" max="12058" width="4.85546875" customWidth="1"/>
    <col min="12059" max="12059" width="6.28515625" customWidth="1"/>
    <col min="12060" max="12060" width="5" customWidth="1"/>
    <col min="12061" max="12061" width="6.7109375" customWidth="1"/>
    <col min="12062" max="12062" width="4.5703125" customWidth="1"/>
    <col min="12063" max="12063" width="7.85546875" customWidth="1"/>
    <col min="12064" max="12064" width="5" customWidth="1"/>
    <col min="12065" max="12065" width="7.85546875" customWidth="1"/>
    <col min="12066" max="12066" width="4.42578125" customWidth="1"/>
    <col min="12067" max="12067" width="6.85546875" customWidth="1"/>
    <col min="12068" max="12068" width="4.140625" customWidth="1"/>
    <col min="12069" max="12075" width="7.42578125" customWidth="1"/>
    <col min="12076" max="12076" width="5.140625" customWidth="1"/>
    <col min="12077" max="12077" width="7.5703125" customWidth="1"/>
    <col min="12078" max="12078" width="4.140625" customWidth="1"/>
    <col min="12079" max="12079" width="6.7109375" customWidth="1"/>
    <col min="12080" max="12080" width="8.42578125" customWidth="1"/>
    <col min="12081" max="12081" width="10.140625" customWidth="1"/>
    <col min="12082" max="12082" width="14" customWidth="1"/>
    <col min="12083" max="12083" width="11.140625" customWidth="1"/>
    <col min="12084" max="12085" width="11.42578125" customWidth="1"/>
    <col min="12291" max="12291" width="3" customWidth="1"/>
    <col min="12292" max="12296" width="22" customWidth="1"/>
    <col min="12297" max="12297" width="7.140625" customWidth="1"/>
    <col min="12298" max="12299" width="6.140625" customWidth="1"/>
    <col min="12300" max="12303" width="6.85546875" customWidth="1"/>
    <col min="12304" max="12305" width="8" customWidth="1"/>
    <col min="12306" max="12306" width="9.7109375" customWidth="1"/>
    <col min="12307" max="12307" width="8.42578125" customWidth="1"/>
    <col min="12308" max="12308" width="9" customWidth="1"/>
    <col min="12309" max="12309" width="5.28515625" customWidth="1"/>
    <col min="12310" max="12310" width="6" customWidth="1"/>
    <col min="12311" max="12311" width="5.140625" customWidth="1"/>
    <col min="12312" max="12312" width="5.28515625" customWidth="1"/>
    <col min="12313" max="12313" width="7.7109375" customWidth="1"/>
    <col min="12314" max="12314" width="4.85546875" customWidth="1"/>
    <col min="12315" max="12315" width="6.28515625" customWidth="1"/>
    <col min="12316" max="12316" width="5" customWidth="1"/>
    <col min="12317" max="12317" width="6.7109375" customWidth="1"/>
    <col min="12318" max="12318" width="4.5703125" customWidth="1"/>
    <col min="12319" max="12319" width="7.85546875" customWidth="1"/>
    <col min="12320" max="12320" width="5" customWidth="1"/>
    <col min="12321" max="12321" width="7.85546875" customWidth="1"/>
    <col min="12322" max="12322" width="4.42578125" customWidth="1"/>
    <col min="12323" max="12323" width="6.85546875" customWidth="1"/>
    <col min="12324" max="12324" width="4.140625" customWidth="1"/>
    <col min="12325" max="12331" width="7.42578125" customWidth="1"/>
    <col min="12332" max="12332" width="5.140625" customWidth="1"/>
    <col min="12333" max="12333" width="7.5703125" customWidth="1"/>
    <col min="12334" max="12334" width="4.140625" customWidth="1"/>
    <col min="12335" max="12335" width="6.7109375" customWidth="1"/>
    <col min="12336" max="12336" width="8.42578125" customWidth="1"/>
    <col min="12337" max="12337" width="10.140625" customWidth="1"/>
    <col min="12338" max="12338" width="14" customWidth="1"/>
    <col min="12339" max="12339" width="11.140625" customWidth="1"/>
    <col min="12340" max="12341" width="11.42578125" customWidth="1"/>
    <col min="12547" max="12547" width="3" customWidth="1"/>
    <col min="12548" max="12552" width="22" customWidth="1"/>
    <col min="12553" max="12553" width="7.140625" customWidth="1"/>
    <col min="12554" max="12555" width="6.140625" customWidth="1"/>
    <col min="12556" max="12559" width="6.85546875" customWidth="1"/>
    <col min="12560" max="12561" width="8" customWidth="1"/>
    <col min="12562" max="12562" width="9.7109375" customWidth="1"/>
    <col min="12563" max="12563" width="8.42578125" customWidth="1"/>
    <col min="12564" max="12564" width="9" customWidth="1"/>
    <col min="12565" max="12565" width="5.28515625" customWidth="1"/>
    <col min="12566" max="12566" width="6" customWidth="1"/>
    <col min="12567" max="12567" width="5.140625" customWidth="1"/>
    <col min="12568" max="12568" width="5.28515625" customWidth="1"/>
    <col min="12569" max="12569" width="7.7109375" customWidth="1"/>
    <col min="12570" max="12570" width="4.85546875" customWidth="1"/>
    <col min="12571" max="12571" width="6.28515625" customWidth="1"/>
    <col min="12572" max="12572" width="5" customWidth="1"/>
    <col min="12573" max="12573" width="6.7109375" customWidth="1"/>
    <col min="12574" max="12574" width="4.5703125" customWidth="1"/>
    <col min="12575" max="12575" width="7.85546875" customWidth="1"/>
    <col min="12576" max="12576" width="5" customWidth="1"/>
    <col min="12577" max="12577" width="7.85546875" customWidth="1"/>
    <col min="12578" max="12578" width="4.42578125" customWidth="1"/>
    <col min="12579" max="12579" width="6.85546875" customWidth="1"/>
    <col min="12580" max="12580" width="4.140625" customWidth="1"/>
    <col min="12581" max="12587" width="7.42578125" customWidth="1"/>
    <col min="12588" max="12588" width="5.140625" customWidth="1"/>
    <col min="12589" max="12589" width="7.5703125" customWidth="1"/>
    <col min="12590" max="12590" width="4.140625" customWidth="1"/>
    <col min="12591" max="12591" width="6.7109375" customWidth="1"/>
    <col min="12592" max="12592" width="8.42578125" customWidth="1"/>
    <col min="12593" max="12593" width="10.140625" customWidth="1"/>
    <col min="12594" max="12594" width="14" customWidth="1"/>
    <col min="12595" max="12595" width="11.140625" customWidth="1"/>
    <col min="12596" max="12597" width="11.42578125" customWidth="1"/>
    <col min="12803" max="12803" width="3" customWidth="1"/>
    <col min="12804" max="12808" width="22" customWidth="1"/>
    <col min="12809" max="12809" width="7.140625" customWidth="1"/>
    <col min="12810" max="12811" width="6.140625" customWidth="1"/>
    <col min="12812" max="12815" width="6.85546875" customWidth="1"/>
    <col min="12816" max="12817" width="8" customWidth="1"/>
    <col min="12818" max="12818" width="9.7109375" customWidth="1"/>
    <col min="12819" max="12819" width="8.42578125" customWidth="1"/>
    <col min="12820" max="12820" width="9" customWidth="1"/>
    <col min="12821" max="12821" width="5.28515625" customWidth="1"/>
    <col min="12822" max="12822" width="6" customWidth="1"/>
    <col min="12823" max="12823" width="5.140625" customWidth="1"/>
    <col min="12824" max="12824" width="5.28515625" customWidth="1"/>
    <col min="12825" max="12825" width="7.7109375" customWidth="1"/>
    <col min="12826" max="12826" width="4.85546875" customWidth="1"/>
    <col min="12827" max="12827" width="6.28515625" customWidth="1"/>
    <col min="12828" max="12828" width="5" customWidth="1"/>
    <col min="12829" max="12829" width="6.7109375" customWidth="1"/>
    <col min="12830" max="12830" width="4.5703125" customWidth="1"/>
    <col min="12831" max="12831" width="7.85546875" customWidth="1"/>
    <col min="12832" max="12832" width="5" customWidth="1"/>
    <col min="12833" max="12833" width="7.85546875" customWidth="1"/>
    <col min="12834" max="12834" width="4.42578125" customWidth="1"/>
    <col min="12835" max="12835" width="6.85546875" customWidth="1"/>
    <col min="12836" max="12836" width="4.140625" customWidth="1"/>
    <col min="12837" max="12843" width="7.42578125" customWidth="1"/>
    <col min="12844" max="12844" width="5.140625" customWidth="1"/>
    <col min="12845" max="12845" width="7.5703125" customWidth="1"/>
    <col min="12846" max="12846" width="4.140625" customWidth="1"/>
    <col min="12847" max="12847" width="6.7109375" customWidth="1"/>
    <col min="12848" max="12848" width="8.42578125" customWidth="1"/>
    <col min="12849" max="12849" width="10.140625" customWidth="1"/>
    <col min="12850" max="12850" width="14" customWidth="1"/>
    <col min="12851" max="12851" width="11.140625" customWidth="1"/>
    <col min="12852" max="12853" width="11.42578125" customWidth="1"/>
    <col min="13059" max="13059" width="3" customWidth="1"/>
    <col min="13060" max="13064" width="22" customWidth="1"/>
    <col min="13065" max="13065" width="7.140625" customWidth="1"/>
    <col min="13066" max="13067" width="6.140625" customWidth="1"/>
    <col min="13068" max="13071" width="6.85546875" customWidth="1"/>
    <col min="13072" max="13073" width="8" customWidth="1"/>
    <col min="13074" max="13074" width="9.7109375" customWidth="1"/>
    <col min="13075" max="13075" width="8.42578125" customWidth="1"/>
    <col min="13076" max="13076" width="9" customWidth="1"/>
    <col min="13077" max="13077" width="5.28515625" customWidth="1"/>
    <col min="13078" max="13078" width="6" customWidth="1"/>
    <col min="13079" max="13079" width="5.140625" customWidth="1"/>
    <col min="13080" max="13080" width="5.28515625" customWidth="1"/>
    <col min="13081" max="13081" width="7.7109375" customWidth="1"/>
    <col min="13082" max="13082" width="4.85546875" customWidth="1"/>
    <col min="13083" max="13083" width="6.28515625" customWidth="1"/>
    <col min="13084" max="13084" width="5" customWidth="1"/>
    <col min="13085" max="13085" width="6.7109375" customWidth="1"/>
    <col min="13086" max="13086" width="4.5703125" customWidth="1"/>
    <col min="13087" max="13087" width="7.85546875" customWidth="1"/>
    <col min="13088" max="13088" width="5" customWidth="1"/>
    <col min="13089" max="13089" width="7.85546875" customWidth="1"/>
    <col min="13090" max="13090" width="4.42578125" customWidth="1"/>
    <col min="13091" max="13091" width="6.85546875" customWidth="1"/>
    <col min="13092" max="13092" width="4.140625" customWidth="1"/>
    <col min="13093" max="13099" width="7.42578125" customWidth="1"/>
    <col min="13100" max="13100" width="5.140625" customWidth="1"/>
    <col min="13101" max="13101" width="7.5703125" customWidth="1"/>
    <col min="13102" max="13102" width="4.140625" customWidth="1"/>
    <col min="13103" max="13103" width="6.7109375" customWidth="1"/>
    <col min="13104" max="13104" width="8.42578125" customWidth="1"/>
    <col min="13105" max="13105" width="10.140625" customWidth="1"/>
    <col min="13106" max="13106" width="14" customWidth="1"/>
    <col min="13107" max="13107" width="11.140625" customWidth="1"/>
    <col min="13108" max="13109" width="11.42578125" customWidth="1"/>
    <col min="13315" max="13315" width="3" customWidth="1"/>
    <col min="13316" max="13320" width="22" customWidth="1"/>
    <col min="13321" max="13321" width="7.140625" customWidth="1"/>
    <col min="13322" max="13323" width="6.140625" customWidth="1"/>
    <col min="13324" max="13327" width="6.85546875" customWidth="1"/>
    <col min="13328" max="13329" width="8" customWidth="1"/>
    <col min="13330" max="13330" width="9.7109375" customWidth="1"/>
    <col min="13331" max="13331" width="8.42578125" customWidth="1"/>
    <col min="13332" max="13332" width="9" customWidth="1"/>
    <col min="13333" max="13333" width="5.28515625" customWidth="1"/>
    <col min="13334" max="13334" width="6" customWidth="1"/>
    <col min="13335" max="13335" width="5.140625" customWidth="1"/>
    <col min="13336" max="13336" width="5.28515625" customWidth="1"/>
    <col min="13337" max="13337" width="7.7109375" customWidth="1"/>
    <col min="13338" max="13338" width="4.85546875" customWidth="1"/>
    <col min="13339" max="13339" width="6.28515625" customWidth="1"/>
    <col min="13340" max="13340" width="5" customWidth="1"/>
    <col min="13341" max="13341" width="6.7109375" customWidth="1"/>
    <col min="13342" max="13342" width="4.5703125" customWidth="1"/>
    <col min="13343" max="13343" width="7.85546875" customWidth="1"/>
    <col min="13344" max="13344" width="5" customWidth="1"/>
    <col min="13345" max="13345" width="7.85546875" customWidth="1"/>
    <col min="13346" max="13346" width="4.42578125" customWidth="1"/>
    <col min="13347" max="13347" width="6.85546875" customWidth="1"/>
    <col min="13348" max="13348" width="4.140625" customWidth="1"/>
    <col min="13349" max="13355" width="7.42578125" customWidth="1"/>
    <col min="13356" max="13356" width="5.140625" customWidth="1"/>
    <col min="13357" max="13357" width="7.5703125" customWidth="1"/>
    <col min="13358" max="13358" width="4.140625" customWidth="1"/>
    <col min="13359" max="13359" width="6.7109375" customWidth="1"/>
    <col min="13360" max="13360" width="8.42578125" customWidth="1"/>
    <col min="13361" max="13361" width="10.140625" customWidth="1"/>
    <col min="13362" max="13362" width="14" customWidth="1"/>
    <col min="13363" max="13363" width="11.140625" customWidth="1"/>
    <col min="13364" max="13365" width="11.42578125" customWidth="1"/>
    <col min="13571" max="13571" width="3" customWidth="1"/>
    <col min="13572" max="13576" width="22" customWidth="1"/>
    <col min="13577" max="13577" width="7.140625" customWidth="1"/>
    <col min="13578" max="13579" width="6.140625" customWidth="1"/>
    <col min="13580" max="13583" width="6.85546875" customWidth="1"/>
    <col min="13584" max="13585" width="8" customWidth="1"/>
    <col min="13586" max="13586" width="9.7109375" customWidth="1"/>
    <col min="13587" max="13587" width="8.42578125" customWidth="1"/>
    <col min="13588" max="13588" width="9" customWidth="1"/>
    <col min="13589" max="13589" width="5.28515625" customWidth="1"/>
    <col min="13590" max="13590" width="6" customWidth="1"/>
    <col min="13591" max="13591" width="5.140625" customWidth="1"/>
    <col min="13592" max="13592" width="5.28515625" customWidth="1"/>
    <col min="13593" max="13593" width="7.7109375" customWidth="1"/>
    <col min="13594" max="13594" width="4.85546875" customWidth="1"/>
    <col min="13595" max="13595" width="6.28515625" customWidth="1"/>
    <col min="13596" max="13596" width="5" customWidth="1"/>
    <col min="13597" max="13597" width="6.7109375" customWidth="1"/>
    <col min="13598" max="13598" width="4.5703125" customWidth="1"/>
    <col min="13599" max="13599" width="7.85546875" customWidth="1"/>
    <col min="13600" max="13600" width="5" customWidth="1"/>
    <col min="13601" max="13601" width="7.85546875" customWidth="1"/>
    <col min="13602" max="13602" width="4.42578125" customWidth="1"/>
    <col min="13603" max="13603" width="6.85546875" customWidth="1"/>
    <col min="13604" max="13604" width="4.140625" customWidth="1"/>
    <col min="13605" max="13611" width="7.42578125" customWidth="1"/>
    <col min="13612" max="13612" width="5.140625" customWidth="1"/>
    <col min="13613" max="13613" width="7.5703125" customWidth="1"/>
    <col min="13614" max="13614" width="4.140625" customWidth="1"/>
    <col min="13615" max="13615" width="6.7109375" customWidth="1"/>
    <col min="13616" max="13616" width="8.42578125" customWidth="1"/>
    <col min="13617" max="13617" width="10.140625" customWidth="1"/>
    <col min="13618" max="13618" width="14" customWidth="1"/>
    <col min="13619" max="13619" width="11.140625" customWidth="1"/>
    <col min="13620" max="13621" width="11.42578125" customWidth="1"/>
    <col min="13827" max="13827" width="3" customWidth="1"/>
    <col min="13828" max="13832" width="22" customWidth="1"/>
    <col min="13833" max="13833" width="7.140625" customWidth="1"/>
    <col min="13834" max="13835" width="6.140625" customWidth="1"/>
    <col min="13836" max="13839" width="6.85546875" customWidth="1"/>
    <col min="13840" max="13841" width="8" customWidth="1"/>
    <col min="13842" max="13842" width="9.7109375" customWidth="1"/>
    <col min="13843" max="13843" width="8.42578125" customWidth="1"/>
    <col min="13844" max="13844" width="9" customWidth="1"/>
    <col min="13845" max="13845" width="5.28515625" customWidth="1"/>
    <col min="13846" max="13846" width="6" customWidth="1"/>
    <col min="13847" max="13847" width="5.140625" customWidth="1"/>
    <col min="13848" max="13848" width="5.28515625" customWidth="1"/>
    <col min="13849" max="13849" width="7.7109375" customWidth="1"/>
    <col min="13850" max="13850" width="4.85546875" customWidth="1"/>
    <col min="13851" max="13851" width="6.28515625" customWidth="1"/>
    <col min="13852" max="13852" width="5" customWidth="1"/>
    <col min="13853" max="13853" width="6.7109375" customWidth="1"/>
    <col min="13854" max="13854" width="4.5703125" customWidth="1"/>
    <col min="13855" max="13855" width="7.85546875" customWidth="1"/>
    <col min="13856" max="13856" width="5" customWidth="1"/>
    <col min="13857" max="13857" width="7.85546875" customWidth="1"/>
    <col min="13858" max="13858" width="4.42578125" customWidth="1"/>
    <col min="13859" max="13859" width="6.85546875" customWidth="1"/>
    <col min="13860" max="13860" width="4.140625" customWidth="1"/>
    <col min="13861" max="13867" width="7.42578125" customWidth="1"/>
    <col min="13868" max="13868" width="5.140625" customWidth="1"/>
    <col min="13869" max="13869" width="7.5703125" customWidth="1"/>
    <col min="13870" max="13870" width="4.140625" customWidth="1"/>
    <col min="13871" max="13871" width="6.7109375" customWidth="1"/>
    <col min="13872" max="13872" width="8.42578125" customWidth="1"/>
    <col min="13873" max="13873" width="10.140625" customWidth="1"/>
    <col min="13874" max="13874" width="14" customWidth="1"/>
    <col min="13875" max="13875" width="11.140625" customWidth="1"/>
    <col min="13876" max="13877" width="11.42578125" customWidth="1"/>
    <col min="14083" max="14083" width="3" customWidth="1"/>
    <col min="14084" max="14088" width="22" customWidth="1"/>
    <col min="14089" max="14089" width="7.140625" customWidth="1"/>
    <col min="14090" max="14091" width="6.140625" customWidth="1"/>
    <col min="14092" max="14095" width="6.85546875" customWidth="1"/>
    <col min="14096" max="14097" width="8" customWidth="1"/>
    <col min="14098" max="14098" width="9.7109375" customWidth="1"/>
    <col min="14099" max="14099" width="8.42578125" customWidth="1"/>
    <col min="14100" max="14100" width="9" customWidth="1"/>
    <col min="14101" max="14101" width="5.28515625" customWidth="1"/>
    <col min="14102" max="14102" width="6" customWidth="1"/>
    <col min="14103" max="14103" width="5.140625" customWidth="1"/>
    <col min="14104" max="14104" width="5.28515625" customWidth="1"/>
    <col min="14105" max="14105" width="7.7109375" customWidth="1"/>
    <col min="14106" max="14106" width="4.85546875" customWidth="1"/>
    <col min="14107" max="14107" width="6.28515625" customWidth="1"/>
    <col min="14108" max="14108" width="5" customWidth="1"/>
    <col min="14109" max="14109" width="6.7109375" customWidth="1"/>
    <col min="14110" max="14110" width="4.5703125" customWidth="1"/>
    <col min="14111" max="14111" width="7.85546875" customWidth="1"/>
    <col min="14112" max="14112" width="5" customWidth="1"/>
    <col min="14113" max="14113" width="7.85546875" customWidth="1"/>
    <col min="14114" max="14114" width="4.42578125" customWidth="1"/>
    <col min="14115" max="14115" width="6.85546875" customWidth="1"/>
    <col min="14116" max="14116" width="4.140625" customWidth="1"/>
    <col min="14117" max="14123" width="7.42578125" customWidth="1"/>
    <col min="14124" max="14124" width="5.140625" customWidth="1"/>
    <col min="14125" max="14125" width="7.5703125" customWidth="1"/>
    <col min="14126" max="14126" width="4.140625" customWidth="1"/>
    <col min="14127" max="14127" width="6.7109375" customWidth="1"/>
    <col min="14128" max="14128" width="8.42578125" customWidth="1"/>
    <col min="14129" max="14129" width="10.140625" customWidth="1"/>
    <col min="14130" max="14130" width="14" customWidth="1"/>
    <col min="14131" max="14131" width="11.140625" customWidth="1"/>
    <col min="14132" max="14133" width="11.42578125" customWidth="1"/>
    <col min="14339" max="14339" width="3" customWidth="1"/>
    <col min="14340" max="14344" width="22" customWidth="1"/>
    <col min="14345" max="14345" width="7.140625" customWidth="1"/>
    <col min="14346" max="14347" width="6.140625" customWidth="1"/>
    <col min="14348" max="14351" width="6.85546875" customWidth="1"/>
    <col min="14352" max="14353" width="8" customWidth="1"/>
    <col min="14354" max="14354" width="9.7109375" customWidth="1"/>
    <col min="14355" max="14355" width="8.42578125" customWidth="1"/>
    <col min="14356" max="14356" width="9" customWidth="1"/>
    <col min="14357" max="14357" width="5.28515625" customWidth="1"/>
    <col min="14358" max="14358" width="6" customWidth="1"/>
    <col min="14359" max="14359" width="5.140625" customWidth="1"/>
    <col min="14360" max="14360" width="5.28515625" customWidth="1"/>
    <col min="14361" max="14361" width="7.7109375" customWidth="1"/>
    <col min="14362" max="14362" width="4.85546875" customWidth="1"/>
    <col min="14363" max="14363" width="6.28515625" customWidth="1"/>
    <col min="14364" max="14364" width="5" customWidth="1"/>
    <col min="14365" max="14365" width="6.7109375" customWidth="1"/>
    <col min="14366" max="14366" width="4.5703125" customWidth="1"/>
    <col min="14367" max="14367" width="7.85546875" customWidth="1"/>
    <col min="14368" max="14368" width="5" customWidth="1"/>
    <col min="14369" max="14369" width="7.85546875" customWidth="1"/>
    <col min="14370" max="14370" width="4.42578125" customWidth="1"/>
    <col min="14371" max="14371" width="6.85546875" customWidth="1"/>
    <col min="14372" max="14372" width="4.140625" customWidth="1"/>
    <col min="14373" max="14379" width="7.42578125" customWidth="1"/>
    <col min="14380" max="14380" width="5.140625" customWidth="1"/>
    <col min="14381" max="14381" width="7.5703125" customWidth="1"/>
    <col min="14382" max="14382" width="4.140625" customWidth="1"/>
    <col min="14383" max="14383" width="6.7109375" customWidth="1"/>
    <col min="14384" max="14384" width="8.42578125" customWidth="1"/>
    <col min="14385" max="14385" width="10.140625" customWidth="1"/>
    <col min="14386" max="14386" width="14" customWidth="1"/>
    <col min="14387" max="14387" width="11.140625" customWidth="1"/>
    <col min="14388" max="14389" width="11.42578125" customWidth="1"/>
    <col min="14595" max="14595" width="3" customWidth="1"/>
    <col min="14596" max="14600" width="22" customWidth="1"/>
    <col min="14601" max="14601" width="7.140625" customWidth="1"/>
    <col min="14602" max="14603" width="6.140625" customWidth="1"/>
    <col min="14604" max="14607" width="6.85546875" customWidth="1"/>
    <col min="14608" max="14609" width="8" customWidth="1"/>
    <col min="14610" max="14610" width="9.7109375" customWidth="1"/>
    <col min="14611" max="14611" width="8.42578125" customWidth="1"/>
    <col min="14612" max="14612" width="9" customWidth="1"/>
    <col min="14613" max="14613" width="5.28515625" customWidth="1"/>
    <col min="14614" max="14614" width="6" customWidth="1"/>
    <col min="14615" max="14615" width="5.140625" customWidth="1"/>
    <col min="14616" max="14616" width="5.28515625" customWidth="1"/>
    <col min="14617" max="14617" width="7.7109375" customWidth="1"/>
    <col min="14618" max="14618" width="4.85546875" customWidth="1"/>
    <col min="14619" max="14619" width="6.28515625" customWidth="1"/>
    <col min="14620" max="14620" width="5" customWidth="1"/>
    <col min="14621" max="14621" width="6.7109375" customWidth="1"/>
    <col min="14622" max="14622" width="4.5703125" customWidth="1"/>
    <col min="14623" max="14623" width="7.85546875" customWidth="1"/>
    <col min="14624" max="14624" width="5" customWidth="1"/>
    <col min="14625" max="14625" width="7.85546875" customWidth="1"/>
    <col min="14626" max="14626" width="4.42578125" customWidth="1"/>
    <col min="14627" max="14627" width="6.85546875" customWidth="1"/>
    <col min="14628" max="14628" width="4.140625" customWidth="1"/>
    <col min="14629" max="14635" width="7.42578125" customWidth="1"/>
    <col min="14636" max="14636" width="5.140625" customWidth="1"/>
    <col min="14637" max="14637" width="7.5703125" customWidth="1"/>
    <col min="14638" max="14638" width="4.140625" customWidth="1"/>
    <col min="14639" max="14639" width="6.7109375" customWidth="1"/>
    <col min="14640" max="14640" width="8.42578125" customWidth="1"/>
    <col min="14641" max="14641" width="10.140625" customWidth="1"/>
    <col min="14642" max="14642" width="14" customWidth="1"/>
    <col min="14643" max="14643" width="11.140625" customWidth="1"/>
    <col min="14644" max="14645" width="11.42578125" customWidth="1"/>
    <col min="14851" max="14851" width="3" customWidth="1"/>
    <col min="14852" max="14856" width="22" customWidth="1"/>
    <col min="14857" max="14857" width="7.140625" customWidth="1"/>
    <col min="14858" max="14859" width="6.140625" customWidth="1"/>
    <col min="14860" max="14863" width="6.85546875" customWidth="1"/>
    <col min="14864" max="14865" width="8" customWidth="1"/>
    <col min="14866" max="14866" width="9.7109375" customWidth="1"/>
    <col min="14867" max="14867" width="8.42578125" customWidth="1"/>
    <col min="14868" max="14868" width="9" customWidth="1"/>
    <col min="14869" max="14869" width="5.28515625" customWidth="1"/>
    <col min="14870" max="14870" width="6" customWidth="1"/>
    <col min="14871" max="14871" width="5.140625" customWidth="1"/>
    <col min="14872" max="14872" width="5.28515625" customWidth="1"/>
    <col min="14873" max="14873" width="7.7109375" customWidth="1"/>
    <col min="14874" max="14874" width="4.85546875" customWidth="1"/>
    <col min="14875" max="14875" width="6.28515625" customWidth="1"/>
    <col min="14876" max="14876" width="5" customWidth="1"/>
    <col min="14877" max="14877" width="6.7109375" customWidth="1"/>
    <col min="14878" max="14878" width="4.5703125" customWidth="1"/>
    <col min="14879" max="14879" width="7.85546875" customWidth="1"/>
    <col min="14880" max="14880" width="5" customWidth="1"/>
    <col min="14881" max="14881" width="7.85546875" customWidth="1"/>
    <col min="14882" max="14882" width="4.42578125" customWidth="1"/>
    <col min="14883" max="14883" width="6.85546875" customWidth="1"/>
    <col min="14884" max="14884" width="4.140625" customWidth="1"/>
    <col min="14885" max="14891" width="7.42578125" customWidth="1"/>
    <col min="14892" max="14892" width="5.140625" customWidth="1"/>
    <col min="14893" max="14893" width="7.5703125" customWidth="1"/>
    <col min="14894" max="14894" width="4.140625" customWidth="1"/>
    <col min="14895" max="14895" width="6.7109375" customWidth="1"/>
    <col min="14896" max="14896" width="8.42578125" customWidth="1"/>
    <col min="14897" max="14897" width="10.140625" customWidth="1"/>
    <col min="14898" max="14898" width="14" customWidth="1"/>
    <col min="14899" max="14899" width="11.140625" customWidth="1"/>
    <col min="14900" max="14901" width="11.42578125" customWidth="1"/>
    <col min="15107" max="15107" width="3" customWidth="1"/>
    <col min="15108" max="15112" width="22" customWidth="1"/>
    <col min="15113" max="15113" width="7.140625" customWidth="1"/>
    <col min="15114" max="15115" width="6.140625" customWidth="1"/>
    <col min="15116" max="15119" width="6.85546875" customWidth="1"/>
    <col min="15120" max="15121" width="8" customWidth="1"/>
    <col min="15122" max="15122" width="9.7109375" customWidth="1"/>
    <col min="15123" max="15123" width="8.42578125" customWidth="1"/>
    <col min="15124" max="15124" width="9" customWidth="1"/>
    <col min="15125" max="15125" width="5.28515625" customWidth="1"/>
    <col min="15126" max="15126" width="6" customWidth="1"/>
    <col min="15127" max="15127" width="5.140625" customWidth="1"/>
    <col min="15128" max="15128" width="5.28515625" customWidth="1"/>
    <col min="15129" max="15129" width="7.7109375" customWidth="1"/>
    <col min="15130" max="15130" width="4.85546875" customWidth="1"/>
    <col min="15131" max="15131" width="6.28515625" customWidth="1"/>
    <col min="15132" max="15132" width="5" customWidth="1"/>
    <col min="15133" max="15133" width="6.7109375" customWidth="1"/>
    <col min="15134" max="15134" width="4.5703125" customWidth="1"/>
    <col min="15135" max="15135" width="7.85546875" customWidth="1"/>
    <col min="15136" max="15136" width="5" customWidth="1"/>
    <col min="15137" max="15137" width="7.85546875" customWidth="1"/>
    <col min="15138" max="15138" width="4.42578125" customWidth="1"/>
    <col min="15139" max="15139" width="6.85546875" customWidth="1"/>
    <col min="15140" max="15140" width="4.140625" customWidth="1"/>
    <col min="15141" max="15147" width="7.42578125" customWidth="1"/>
    <col min="15148" max="15148" width="5.140625" customWidth="1"/>
    <col min="15149" max="15149" width="7.5703125" customWidth="1"/>
    <col min="15150" max="15150" width="4.140625" customWidth="1"/>
    <col min="15151" max="15151" width="6.7109375" customWidth="1"/>
    <col min="15152" max="15152" width="8.42578125" customWidth="1"/>
    <col min="15153" max="15153" width="10.140625" customWidth="1"/>
    <col min="15154" max="15154" width="14" customWidth="1"/>
    <col min="15155" max="15155" width="11.140625" customWidth="1"/>
    <col min="15156" max="15157" width="11.42578125" customWidth="1"/>
    <col min="15363" max="15363" width="3" customWidth="1"/>
    <col min="15364" max="15368" width="22" customWidth="1"/>
    <col min="15369" max="15369" width="7.140625" customWidth="1"/>
    <col min="15370" max="15371" width="6.140625" customWidth="1"/>
    <col min="15372" max="15375" width="6.85546875" customWidth="1"/>
    <col min="15376" max="15377" width="8" customWidth="1"/>
    <col min="15378" max="15378" width="9.7109375" customWidth="1"/>
    <col min="15379" max="15379" width="8.42578125" customWidth="1"/>
    <col min="15380" max="15380" width="9" customWidth="1"/>
    <col min="15381" max="15381" width="5.28515625" customWidth="1"/>
    <col min="15382" max="15382" width="6" customWidth="1"/>
    <col min="15383" max="15383" width="5.140625" customWidth="1"/>
    <col min="15384" max="15384" width="5.28515625" customWidth="1"/>
    <col min="15385" max="15385" width="7.7109375" customWidth="1"/>
    <col min="15386" max="15386" width="4.85546875" customWidth="1"/>
    <col min="15387" max="15387" width="6.28515625" customWidth="1"/>
    <col min="15388" max="15388" width="5" customWidth="1"/>
    <col min="15389" max="15389" width="6.7109375" customWidth="1"/>
    <col min="15390" max="15390" width="4.5703125" customWidth="1"/>
    <col min="15391" max="15391" width="7.85546875" customWidth="1"/>
    <col min="15392" max="15392" width="5" customWidth="1"/>
    <col min="15393" max="15393" width="7.85546875" customWidth="1"/>
    <col min="15394" max="15394" width="4.42578125" customWidth="1"/>
    <col min="15395" max="15395" width="6.85546875" customWidth="1"/>
    <col min="15396" max="15396" width="4.140625" customWidth="1"/>
    <col min="15397" max="15403" width="7.42578125" customWidth="1"/>
    <col min="15404" max="15404" width="5.140625" customWidth="1"/>
    <col min="15405" max="15405" width="7.5703125" customWidth="1"/>
    <col min="15406" max="15406" width="4.140625" customWidth="1"/>
    <col min="15407" max="15407" width="6.7109375" customWidth="1"/>
    <col min="15408" max="15408" width="8.42578125" customWidth="1"/>
    <col min="15409" max="15409" width="10.140625" customWidth="1"/>
    <col min="15410" max="15410" width="14" customWidth="1"/>
    <col min="15411" max="15411" width="11.140625" customWidth="1"/>
    <col min="15412" max="15413" width="11.42578125" customWidth="1"/>
    <col min="15619" max="15619" width="3" customWidth="1"/>
    <col min="15620" max="15624" width="22" customWidth="1"/>
    <col min="15625" max="15625" width="7.140625" customWidth="1"/>
    <col min="15626" max="15627" width="6.140625" customWidth="1"/>
    <col min="15628" max="15631" width="6.85546875" customWidth="1"/>
    <col min="15632" max="15633" width="8" customWidth="1"/>
    <col min="15634" max="15634" width="9.7109375" customWidth="1"/>
    <col min="15635" max="15635" width="8.42578125" customWidth="1"/>
    <col min="15636" max="15636" width="9" customWidth="1"/>
    <col min="15637" max="15637" width="5.28515625" customWidth="1"/>
    <col min="15638" max="15638" width="6" customWidth="1"/>
    <col min="15639" max="15639" width="5.140625" customWidth="1"/>
    <col min="15640" max="15640" width="5.28515625" customWidth="1"/>
    <col min="15641" max="15641" width="7.7109375" customWidth="1"/>
    <col min="15642" max="15642" width="4.85546875" customWidth="1"/>
    <col min="15643" max="15643" width="6.28515625" customWidth="1"/>
    <col min="15644" max="15644" width="5" customWidth="1"/>
    <col min="15645" max="15645" width="6.7109375" customWidth="1"/>
    <col min="15646" max="15646" width="4.5703125" customWidth="1"/>
    <col min="15647" max="15647" width="7.85546875" customWidth="1"/>
    <col min="15648" max="15648" width="5" customWidth="1"/>
    <col min="15649" max="15649" width="7.85546875" customWidth="1"/>
    <col min="15650" max="15650" width="4.42578125" customWidth="1"/>
    <col min="15651" max="15651" width="6.85546875" customWidth="1"/>
    <col min="15652" max="15652" width="4.140625" customWidth="1"/>
    <col min="15653" max="15659" width="7.42578125" customWidth="1"/>
    <col min="15660" max="15660" width="5.140625" customWidth="1"/>
    <col min="15661" max="15661" width="7.5703125" customWidth="1"/>
    <col min="15662" max="15662" width="4.140625" customWidth="1"/>
    <col min="15663" max="15663" width="6.7109375" customWidth="1"/>
    <col min="15664" max="15664" width="8.42578125" customWidth="1"/>
    <col min="15665" max="15665" width="10.140625" customWidth="1"/>
    <col min="15666" max="15666" width="14" customWidth="1"/>
    <col min="15667" max="15667" width="11.140625" customWidth="1"/>
    <col min="15668" max="15669" width="11.42578125" customWidth="1"/>
    <col min="15875" max="15875" width="3" customWidth="1"/>
    <col min="15876" max="15880" width="22" customWidth="1"/>
    <col min="15881" max="15881" width="7.140625" customWidth="1"/>
    <col min="15882" max="15883" width="6.140625" customWidth="1"/>
    <col min="15884" max="15887" width="6.85546875" customWidth="1"/>
    <col min="15888" max="15889" width="8" customWidth="1"/>
    <col min="15890" max="15890" width="9.7109375" customWidth="1"/>
    <col min="15891" max="15891" width="8.42578125" customWidth="1"/>
    <col min="15892" max="15892" width="9" customWidth="1"/>
    <col min="15893" max="15893" width="5.28515625" customWidth="1"/>
    <col min="15894" max="15894" width="6" customWidth="1"/>
    <col min="15895" max="15895" width="5.140625" customWidth="1"/>
    <col min="15896" max="15896" width="5.28515625" customWidth="1"/>
    <col min="15897" max="15897" width="7.7109375" customWidth="1"/>
    <col min="15898" max="15898" width="4.85546875" customWidth="1"/>
    <col min="15899" max="15899" width="6.28515625" customWidth="1"/>
    <col min="15900" max="15900" width="5" customWidth="1"/>
    <col min="15901" max="15901" width="6.7109375" customWidth="1"/>
    <col min="15902" max="15902" width="4.5703125" customWidth="1"/>
    <col min="15903" max="15903" width="7.85546875" customWidth="1"/>
    <col min="15904" max="15904" width="5" customWidth="1"/>
    <col min="15905" max="15905" width="7.85546875" customWidth="1"/>
    <col min="15906" max="15906" width="4.42578125" customWidth="1"/>
    <col min="15907" max="15907" width="6.85546875" customWidth="1"/>
    <col min="15908" max="15908" width="4.140625" customWidth="1"/>
    <col min="15909" max="15915" width="7.42578125" customWidth="1"/>
    <col min="15916" max="15916" width="5.140625" customWidth="1"/>
    <col min="15917" max="15917" width="7.5703125" customWidth="1"/>
    <col min="15918" max="15918" width="4.140625" customWidth="1"/>
    <col min="15919" max="15919" width="6.7109375" customWidth="1"/>
    <col min="15920" max="15920" width="8.42578125" customWidth="1"/>
    <col min="15921" max="15921" width="10.140625" customWidth="1"/>
    <col min="15922" max="15922" width="14" customWidth="1"/>
    <col min="15923" max="15923" width="11.140625" customWidth="1"/>
    <col min="15924" max="15925" width="11.42578125" customWidth="1"/>
    <col min="16131" max="16131" width="3" customWidth="1"/>
    <col min="16132" max="16136" width="22" customWidth="1"/>
    <col min="16137" max="16137" width="7.140625" customWidth="1"/>
    <col min="16138" max="16139" width="6.140625" customWidth="1"/>
    <col min="16140" max="16143" width="6.85546875" customWidth="1"/>
    <col min="16144" max="16145" width="8" customWidth="1"/>
    <col min="16146" max="16146" width="9.7109375" customWidth="1"/>
    <col min="16147" max="16147" width="8.42578125" customWidth="1"/>
    <col min="16148" max="16148" width="9" customWidth="1"/>
    <col min="16149" max="16149" width="5.28515625" customWidth="1"/>
    <col min="16150" max="16150" width="6" customWidth="1"/>
    <col min="16151" max="16151" width="5.140625" customWidth="1"/>
    <col min="16152" max="16152" width="5.28515625" customWidth="1"/>
    <col min="16153" max="16153" width="7.7109375" customWidth="1"/>
    <col min="16154" max="16154" width="4.85546875" customWidth="1"/>
    <col min="16155" max="16155" width="6.28515625" customWidth="1"/>
    <col min="16156" max="16156" width="5" customWidth="1"/>
    <col min="16157" max="16157" width="6.7109375" customWidth="1"/>
    <col min="16158" max="16158" width="4.5703125" customWidth="1"/>
    <col min="16159" max="16159" width="7.85546875" customWidth="1"/>
    <col min="16160" max="16160" width="5" customWidth="1"/>
    <col min="16161" max="16161" width="7.85546875" customWidth="1"/>
    <col min="16162" max="16162" width="4.42578125" customWidth="1"/>
    <col min="16163" max="16163" width="6.85546875" customWidth="1"/>
    <col min="16164" max="16164" width="4.140625" customWidth="1"/>
    <col min="16165" max="16171" width="7.42578125" customWidth="1"/>
    <col min="16172" max="16172" width="5.140625" customWidth="1"/>
    <col min="16173" max="16173" width="7.5703125" customWidth="1"/>
    <col min="16174" max="16174" width="4.140625" customWidth="1"/>
    <col min="16175" max="16175" width="6.7109375" customWidth="1"/>
    <col min="16176" max="16176" width="8.42578125" customWidth="1"/>
    <col min="16177" max="16177" width="10.140625" customWidth="1"/>
    <col min="16178" max="16178" width="14" customWidth="1"/>
    <col min="16179" max="16179" width="11.140625" customWidth="1"/>
    <col min="16180" max="16181" width="11.42578125" customWidth="1"/>
  </cols>
  <sheetData>
    <row r="1" spans="1:54" ht="15.75">
      <c r="A1" s="230" t="s">
        <v>389</v>
      </c>
      <c r="B1" s="213" t="s">
        <v>291</v>
      </c>
      <c r="C1" s="212"/>
      <c r="D1" s="230"/>
      <c r="E1" s="230"/>
      <c r="F1" s="230"/>
      <c r="G1" s="23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4" ht="15.75">
      <c r="B2" s="212" t="s">
        <v>330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4" ht="24.75" customHeight="1">
      <c r="B3" s="212" t="s">
        <v>369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3"/>
      <c r="Z3" s="3"/>
      <c r="AA3" s="3"/>
      <c r="AB3" s="4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4" ht="95.25" customHeight="1">
      <c r="A4" s="313" t="s">
        <v>0</v>
      </c>
      <c r="B4" s="314" t="s">
        <v>1</v>
      </c>
      <c r="C4" s="314" t="s">
        <v>2</v>
      </c>
      <c r="D4" s="314" t="s">
        <v>3</v>
      </c>
      <c r="E4" s="314" t="s">
        <v>4</v>
      </c>
      <c r="F4" s="317" t="s">
        <v>5</v>
      </c>
      <c r="G4" s="271" t="s">
        <v>6</v>
      </c>
      <c r="H4" s="271" t="s">
        <v>7</v>
      </c>
      <c r="I4" s="271" t="s">
        <v>8</v>
      </c>
      <c r="J4" s="271" t="s">
        <v>9</v>
      </c>
      <c r="K4" s="271" t="s">
        <v>10</v>
      </c>
      <c r="L4" s="271" t="s">
        <v>11</v>
      </c>
      <c r="M4" s="271" t="s">
        <v>12</v>
      </c>
      <c r="N4" s="271" t="s">
        <v>12</v>
      </c>
      <c r="O4" s="271" t="s">
        <v>13</v>
      </c>
      <c r="P4" s="271" t="s">
        <v>14</v>
      </c>
      <c r="Q4" s="271" t="s">
        <v>15</v>
      </c>
      <c r="R4" s="271" t="s">
        <v>16</v>
      </c>
      <c r="S4" s="271" t="s">
        <v>17</v>
      </c>
      <c r="T4" s="271"/>
      <c r="U4" s="271"/>
      <c r="V4" s="271" t="s">
        <v>18</v>
      </c>
      <c r="W4" s="271"/>
      <c r="X4" s="271" t="s">
        <v>19</v>
      </c>
      <c r="Y4" s="271"/>
      <c r="Z4" s="271" t="s">
        <v>20</v>
      </c>
      <c r="AA4" s="271"/>
      <c r="AB4" s="271" t="s">
        <v>21</v>
      </c>
      <c r="AC4" s="271"/>
      <c r="AD4" s="271" t="s">
        <v>22</v>
      </c>
      <c r="AE4" s="271"/>
      <c r="AF4" s="271" t="s">
        <v>23</v>
      </c>
      <c r="AG4" s="271"/>
      <c r="AH4" s="271" t="s">
        <v>24</v>
      </c>
      <c r="AI4" s="271"/>
      <c r="AJ4" s="271" t="s">
        <v>25</v>
      </c>
      <c r="AK4" s="271"/>
      <c r="AL4" s="271"/>
      <c r="AM4" s="271"/>
      <c r="AN4" s="271" t="s">
        <v>263</v>
      </c>
      <c r="AO4" s="271"/>
      <c r="AP4" s="271"/>
      <c r="AQ4" s="271" t="s">
        <v>26</v>
      </c>
      <c r="AR4" s="271"/>
      <c r="AS4" s="271" t="s">
        <v>27</v>
      </c>
      <c r="AT4" s="271"/>
      <c r="AU4" s="271"/>
      <c r="AV4" s="270">
        <v>0.1</v>
      </c>
      <c r="AW4" s="271"/>
      <c r="AX4" s="271" t="s">
        <v>28</v>
      </c>
      <c r="AY4" s="271" t="s">
        <v>29</v>
      </c>
      <c r="AZ4" s="271" t="s">
        <v>30</v>
      </c>
      <c r="BA4" s="312" t="s">
        <v>335</v>
      </c>
      <c r="BB4" s="312" t="s">
        <v>336</v>
      </c>
    </row>
    <row r="5" spans="1:54" ht="40.5" customHeight="1">
      <c r="A5" s="313"/>
      <c r="B5" s="314"/>
      <c r="C5" s="314"/>
      <c r="D5" s="314"/>
      <c r="E5" s="314"/>
      <c r="F5" s="317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15" t="s">
        <v>31</v>
      </c>
      <c r="T5" s="215" t="s">
        <v>32</v>
      </c>
      <c r="U5" s="215" t="s">
        <v>33</v>
      </c>
      <c r="V5" s="215" t="s">
        <v>34</v>
      </c>
      <c r="W5" s="215" t="s">
        <v>35</v>
      </c>
      <c r="X5" s="215" t="s">
        <v>36</v>
      </c>
      <c r="Y5" s="215" t="s">
        <v>37</v>
      </c>
      <c r="Z5" s="215" t="s">
        <v>38</v>
      </c>
      <c r="AA5" s="215" t="s">
        <v>35</v>
      </c>
      <c r="AB5" s="215" t="s">
        <v>39</v>
      </c>
      <c r="AC5" s="215" t="s">
        <v>35</v>
      </c>
      <c r="AD5" s="215" t="s">
        <v>36</v>
      </c>
      <c r="AE5" s="215" t="s">
        <v>35</v>
      </c>
      <c r="AF5" s="215" t="s">
        <v>36</v>
      </c>
      <c r="AG5" s="215" t="s">
        <v>35</v>
      </c>
      <c r="AH5" s="215" t="s">
        <v>36</v>
      </c>
      <c r="AI5" s="215" t="s">
        <v>35</v>
      </c>
      <c r="AJ5" s="215" t="s">
        <v>36</v>
      </c>
      <c r="AK5" s="215" t="s">
        <v>31</v>
      </c>
      <c r="AL5" s="215" t="s">
        <v>40</v>
      </c>
      <c r="AM5" s="215" t="s">
        <v>41</v>
      </c>
      <c r="AN5" s="215" t="s">
        <v>31</v>
      </c>
      <c r="AO5" s="215" t="s">
        <v>35</v>
      </c>
      <c r="AP5" s="215" t="s">
        <v>36</v>
      </c>
      <c r="AQ5" s="215" t="s">
        <v>36</v>
      </c>
      <c r="AR5" s="215" t="s">
        <v>35</v>
      </c>
      <c r="AS5" s="215" t="s">
        <v>36</v>
      </c>
      <c r="AT5" s="215" t="s">
        <v>31</v>
      </c>
      <c r="AU5" s="215" t="s">
        <v>35</v>
      </c>
      <c r="AV5" s="215" t="s">
        <v>36</v>
      </c>
      <c r="AW5" s="215" t="s">
        <v>35</v>
      </c>
      <c r="AX5" s="271"/>
      <c r="AY5" s="271"/>
      <c r="AZ5" s="271"/>
      <c r="BA5" s="312"/>
      <c r="BB5" s="312"/>
    </row>
    <row r="6" spans="1:54">
      <c r="A6" s="231">
        <v>1</v>
      </c>
      <c r="B6" s="232">
        <v>2</v>
      </c>
      <c r="C6" s="232">
        <v>3</v>
      </c>
      <c r="D6" s="232">
        <v>4</v>
      </c>
      <c r="E6" s="232">
        <v>5</v>
      </c>
      <c r="F6" s="232">
        <v>6</v>
      </c>
      <c r="G6" s="233">
        <v>7</v>
      </c>
      <c r="H6" s="233">
        <v>8</v>
      </c>
      <c r="I6" s="233">
        <v>9</v>
      </c>
      <c r="J6" s="233">
        <v>10</v>
      </c>
      <c r="K6" s="233">
        <v>11</v>
      </c>
      <c r="L6" s="233">
        <v>12</v>
      </c>
      <c r="M6" s="233">
        <v>13</v>
      </c>
      <c r="N6" s="233">
        <v>14</v>
      </c>
      <c r="O6" s="233">
        <v>15</v>
      </c>
      <c r="P6" s="233">
        <v>16</v>
      </c>
      <c r="Q6" s="233">
        <v>17</v>
      </c>
      <c r="R6" s="233">
        <v>18</v>
      </c>
      <c r="S6" s="233">
        <v>19</v>
      </c>
      <c r="T6" s="233">
        <v>20</v>
      </c>
      <c r="U6" s="233">
        <v>21</v>
      </c>
      <c r="V6" s="233">
        <v>22</v>
      </c>
      <c r="W6" s="233">
        <v>23</v>
      </c>
      <c r="X6" s="233">
        <v>24</v>
      </c>
      <c r="Y6" s="233">
        <v>25</v>
      </c>
      <c r="Z6" s="233">
        <v>26</v>
      </c>
      <c r="AA6" s="233">
        <v>27</v>
      </c>
      <c r="AB6" s="233">
        <v>28</v>
      </c>
      <c r="AC6" s="233">
        <f t="shared" ref="AC6:AX6" si="0">AB6+1</f>
        <v>29</v>
      </c>
      <c r="AD6" s="233">
        <f t="shared" si="0"/>
        <v>30</v>
      </c>
      <c r="AE6" s="233">
        <f t="shared" si="0"/>
        <v>31</v>
      </c>
      <c r="AF6" s="233">
        <v>32</v>
      </c>
      <c r="AG6" s="233">
        <v>33</v>
      </c>
      <c r="AH6" s="233">
        <v>34</v>
      </c>
      <c r="AI6" s="233">
        <f t="shared" si="0"/>
        <v>35</v>
      </c>
      <c r="AJ6" s="233">
        <f>AI6+1</f>
        <v>36</v>
      </c>
      <c r="AK6" s="233">
        <f t="shared" si="0"/>
        <v>37</v>
      </c>
      <c r="AL6" s="233">
        <v>38</v>
      </c>
      <c r="AM6" s="233">
        <v>39</v>
      </c>
      <c r="AN6" s="233">
        <v>40</v>
      </c>
      <c r="AO6" s="233">
        <v>41</v>
      </c>
      <c r="AP6" s="233">
        <v>42</v>
      </c>
      <c r="AQ6" s="233">
        <v>43</v>
      </c>
      <c r="AR6" s="233">
        <v>44</v>
      </c>
      <c r="AS6" s="233">
        <v>45</v>
      </c>
      <c r="AT6" s="233">
        <v>46</v>
      </c>
      <c r="AU6" s="233">
        <v>47</v>
      </c>
      <c r="AV6" s="233">
        <v>48</v>
      </c>
      <c r="AW6" s="233">
        <f t="shared" si="0"/>
        <v>49</v>
      </c>
      <c r="AX6" s="233">
        <f t="shared" si="0"/>
        <v>50</v>
      </c>
      <c r="AY6" s="233">
        <v>51</v>
      </c>
      <c r="AZ6" s="233">
        <v>52</v>
      </c>
      <c r="BA6" s="231">
        <v>53</v>
      </c>
      <c r="BB6" s="231">
        <v>54</v>
      </c>
    </row>
    <row r="7" spans="1:54">
      <c r="A7" s="5">
        <v>1</v>
      </c>
      <c r="B7" s="18" t="s">
        <v>44</v>
      </c>
      <c r="C7" s="18" t="s">
        <v>134</v>
      </c>
      <c r="D7" s="36" t="s">
        <v>191</v>
      </c>
      <c r="E7" s="41" t="s">
        <v>196</v>
      </c>
      <c r="F7" s="33" t="s">
        <v>243</v>
      </c>
      <c r="G7" s="72">
        <v>17697</v>
      </c>
      <c r="H7" s="33">
        <v>9</v>
      </c>
      <c r="I7" s="50"/>
      <c r="J7" s="33">
        <v>1</v>
      </c>
      <c r="K7" s="56">
        <v>5.2</v>
      </c>
      <c r="L7" s="56">
        <v>5.91</v>
      </c>
      <c r="M7" s="65">
        <f>G7*K7/18*H7</f>
        <v>46012.200000000004</v>
      </c>
      <c r="N7" s="65">
        <f>G7*L7*J7</f>
        <v>104589.27</v>
      </c>
      <c r="O7" s="65">
        <f>(M7+N7)*1.25</f>
        <v>188251.83749999999</v>
      </c>
      <c r="P7" s="65">
        <f>O7*25%</f>
        <v>47062.959374999999</v>
      </c>
      <c r="Q7" s="65">
        <f>O7+P7</f>
        <v>235314.796875</v>
      </c>
      <c r="R7" s="64">
        <f>T7+W7+Y7+AA7+AC7+AE7+AG7+AI7+AM7+AO7+AR7+AU7+AW7</f>
        <v>48245.831770833334</v>
      </c>
      <c r="S7" s="72"/>
      <c r="T7" s="72"/>
      <c r="U7" s="73"/>
      <c r="V7" s="73"/>
      <c r="W7" s="74"/>
      <c r="X7" s="6"/>
      <c r="Y7" s="6"/>
      <c r="Z7" s="66"/>
      <c r="AA7" s="6"/>
      <c r="AB7" s="77">
        <v>0.4</v>
      </c>
      <c r="AC7" s="71">
        <f>G7*AB7/18*8</f>
        <v>3146.1333333333332</v>
      </c>
      <c r="AD7" s="6"/>
      <c r="AE7" s="6"/>
      <c r="AF7" s="6"/>
      <c r="AG7" s="6"/>
      <c r="AH7" s="6"/>
      <c r="AI7" s="6"/>
      <c r="AJ7" s="70"/>
      <c r="AK7" s="48"/>
      <c r="AL7" s="84"/>
      <c r="AM7" s="77"/>
      <c r="AN7" s="48"/>
      <c r="AO7" s="77"/>
      <c r="AP7" s="70"/>
      <c r="AQ7" s="6"/>
      <c r="AR7" s="6"/>
      <c r="AS7" s="80">
        <v>0.3</v>
      </c>
      <c r="AT7" s="33">
        <v>9</v>
      </c>
      <c r="AU7" s="71">
        <f t="shared" ref="AU7:AU70" si="1">((G7*K7/18*AT7*1.25)*AS7+(((G7*K7/18*AT7*1.25)*AS7)*25%))</f>
        <v>21568.21875</v>
      </c>
      <c r="AV7" s="80">
        <v>0.1</v>
      </c>
      <c r="AW7" s="71">
        <f>Q7*AV7</f>
        <v>23531.479687500003</v>
      </c>
      <c r="AX7" s="64">
        <f>SUM(Q7+R7)</f>
        <v>283560.62864583335</v>
      </c>
      <c r="AY7" s="71">
        <f>Q7</f>
        <v>235314.796875</v>
      </c>
      <c r="AZ7" s="64">
        <f>AX7*12</f>
        <v>3402727.5437500002</v>
      </c>
      <c r="BA7" s="5"/>
      <c r="BB7" s="5"/>
    </row>
    <row r="8" spans="1:54" ht="15.75" customHeight="1">
      <c r="A8" s="5">
        <v>2</v>
      </c>
      <c r="B8" s="18" t="s">
        <v>45</v>
      </c>
      <c r="C8" s="32" t="s">
        <v>399</v>
      </c>
      <c r="D8" s="36" t="s">
        <v>191</v>
      </c>
      <c r="E8" s="41" t="s">
        <v>197</v>
      </c>
      <c r="F8" s="33" t="s">
        <v>243</v>
      </c>
      <c r="G8" s="72">
        <v>17697</v>
      </c>
      <c r="H8" s="33">
        <v>17</v>
      </c>
      <c r="I8" s="50"/>
      <c r="J8" s="33">
        <v>0.5</v>
      </c>
      <c r="K8" s="56">
        <v>5.2</v>
      </c>
      <c r="L8" s="56">
        <v>5.91</v>
      </c>
      <c r="M8" s="65">
        <f t="shared" ref="M8:M71" si="2">G8*K8/18*H8</f>
        <v>86911.933333333349</v>
      </c>
      <c r="N8" s="65">
        <f t="shared" ref="N8:N71" si="3">G8*L8*J8</f>
        <v>52294.635000000002</v>
      </c>
      <c r="O8" s="65">
        <f t="shared" ref="O8:O70" si="4">(M8+N8)*1.25</f>
        <v>174008.2104166667</v>
      </c>
      <c r="P8" s="65">
        <f t="shared" ref="P8:P71" si="5">O8*25%</f>
        <v>43502.052604166674</v>
      </c>
      <c r="Q8" s="65">
        <f t="shared" ref="Q8:Q71" si="6">O8+P8</f>
        <v>217510.26302083337</v>
      </c>
      <c r="R8" s="64">
        <f t="shared" ref="R8:R71" si="7">T8+W8+Y8+AA8+AC8+AE8+AG8+AI8+AM8+AO8+AR8+AU8+AW8</f>
        <v>67253.892582947534</v>
      </c>
      <c r="S8" s="72"/>
      <c r="T8" s="72"/>
      <c r="U8" s="73"/>
      <c r="V8" s="73"/>
      <c r="W8" s="74"/>
      <c r="X8" s="6"/>
      <c r="Y8" s="6"/>
      <c r="Z8" s="66">
        <v>0.2</v>
      </c>
      <c r="AA8" s="71">
        <f>G8*Z8</f>
        <v>3539.4</v>
      </c>
      <c r="AB8" s="77">
        <v>0.4</v>
      </c>
      <c r="AC8" s="71">
        <f>G8*AB8/18*3</f>
        <v>1179.8</v>
      </c>
      <c r="AD8" s="6"/>
      <c r="AE8" s="6"/>
      <c r="AF8" s="6"/>
      <c r="AG8" s="6"/>
      <c r="AH8" s="6"/>
      <c r="AI8" s="6"/>
      <c r="AJ8" s="66">
        <v>0.4</v>
      </c>
      <c r="AK8" s="81">
        <v>2</v>
      </c>
      <c r="AL8" s="84">
        <v>1</v>
      </c>
      <c r="AM8" s="81">
        <f>7079/18*AK8/18*1</f>
        <v>43.697530864197532</v>
      </c>
      <c r="AN8" s="81"/>
      <c r="AO8" s="81"/>
      <c r="AP8" s="66"/>
      <c r="AQ8" s="6"/>
      <c r="AR8" s="6"/>
      <c r="AS8" s="80">
        <v>0.3</v>
      </c>
      <c r="AT8" s="33">
        <v>17</v>
      </c>
      <c r="AU8" s="71">
        <f t="shared" si="1"/>
        <v>40739.968750000007</v>
      </c>
      <c r="AV8" s="80">
        <v>0.1</v>
      </c>
      <c r="AW8" s="71">
        <f t="shared" ref="AW8:AW71" si="8">Q8*AV8</f>
        <v>21751.026302083337</v>
      </c>
      <c r="AX8" s="64">
        <f t="shared" ref="AX8:AX71" si="9">SUM(Q8+R8)</f>
        <v>284764.15560378088</v>
      </c>
      <c r="AY8" s="71">
        <f t="shared" ref="AY8:AY71" si="10">Q8</f>
        <v>217510.26302083337</v>
      </c>
      <c r="AZ8" s="64">
        <f t="shared" ref="AZ8:AZ71" si="11">AX8*12</f>
        <v>3417169.8672453705</v>
      </c>
      <c r="BA8" s="5"/>
      <c r="BB8" s="5"/>
    </row>
    <row r="9" spans="1:54">
      <c r="A9" s="5">
        <v>3</v>
      </c>
      <c r="B9" s="18" t="s">
        <v>46</v>
      </c>
      <c r="C9" s="28" t="s">
        <v>135</v>
      </c>
      <c r="D9" s="37" t="s">
        <v>191</v>
      </c>
      <c r="E9" s="41" t="s">
        <v>198</v>
      </c>
      <c r="F9" s="33" t="s">
        <v>244</v>
      </c>
      <c r="G9" s="72">
        <v>17697</v>
      </c>
      <c r="H9" s="33">
        <v>9</v>
      </c>
      <c r="I9" s="50"/>
      <c r="J9" s="33">
        <v>1</v>
      </c>
      <c r="K9" s="56">
        <v>5.32</v>
      </c>
      <c r="L9" s="56">
        <v>5.74</v>
      </c>
      <c r="M9" s="65">
        <f t="shared" si="2"/>
        <v>47074.020000000004</v>
      </c>
      <c r="N9" s="65">
        <f t="shared" si="3"/>
        <v>101580.78</v>
      </c>
      <c r="O9" s="65">
        <f t="shared" si="4"/>
        <v>185818.5</v>
      </c>
      <c r="P9" s="65">
        <f t="shared" si="5"/>
        <v>46454.625</v>
      </c>
      <c r="Q9" s="65">
        <f t="shared" si="6"/>
        <v>232273.125</v>
      </c>
      <c r="R9" s="64">
        <f t="shared" si="7"/>
        <v>48488.551041666673</v>
      </c>
      <c r="S9" s="72"/>
      <c r="T9" s="72"/>
      <c r="U9" s="73"/>
      <c r="V9" s="73"/>
      <c r="W9" s="74"/>
      <c r="X9" s="6"/>
      <c r="Y9" s="6"/>
      <c r="Z9" s="66"/>
      <c r="AA9" s="6"/>
      <c r="AB9" s="77">
        <v>0.5</v>
      </c>
      <c r="AC9" s="71">
        <f>G9*AB9/18*6.5</f>
        <v>3195.2916666666665</v>
      </c>
      <c r="AD9" s="6"/>
      <c r="AE9" s="6"/>
      <c r="AF9" s="6"/>
      <c r="AG9" s="6"/>
      <c r="AH9" s="6"/>
      <c r="AI9" s="6"/>
      <c r="AJ9" s="66"/>
      <c r="AK9" s="48"/>
      <c r="AL9" s="84"/>
      <c r="AM9" s="48"/>
      <c r="AN9" s="48"/>
      <c r="AO9" s="48"/>
      <c r="AP9" s="66"/>
      <c r="AQ9" s="6"/>
      <c r="AR9" s="6"/>
      <c r="AS9" s="80">
        <v>0.3</v>
      </c>
      <c r="AT9" s="33">
        <v>9</v>
      </c>
      <c r="AU9" s="71">
        <f t="shared" si="1"/>
        <v>22065.946875000005</v>
      </c>
      <c r="AV9" s="80">
        <v>0.1</v>
      </c>
      <c r="AW9" s="71">
        <f t="shared" si="8"/>
        <v>23227.3125</v>
      </c>
      <c r="AX9" s="64">
        <f t="shared" si="9"/>
        <v>280761.67604166665</v>
      </c>
      <c r="AY9" s="71">
        <f t="shared" si="10"/>
        <v>232273.125</v>
      </c>
      <c r="AZ9" s="64">
        <f t="shared" si="11"/>
        <v>3369140.1124999998</v>
      </c>
      <c r="BA9" s="5"/>
      <c r="BB9" s="5"/>
    </row>
    <row r="10" spans="1:54" ht="15" customHeight="1">
      <c r="A10" s="5">
        <v>4</v>
      </c>
      <c r="B10" s="18" t="s">
        <v>47</v>
      </c>
      <c r="C10" s="28" t="s">
        <v>136</v>
      </c>
      <c r="D10" s="36" t="s">
        <v>191</v>
      </c>
      <c r="E10" s="41" t="s">
        <v>199</v>
      </c>
      <c r="F10" s="33" t="s">
        <v>245</v>
      </c>
      <c r="G10" s="72">
        <v>17697</v>
      </c>
      <c r="H10" s="33"/>
      <c r="I10" s="50"/>
      <c r="J10" s="33">
        <v>1</v>
      </c>
      <c r="K10" s="56">
        <v>4</v>
      </c>
      <c r="L10" s="56">
        <v>5.43</v>
      </c>
      <c r="M10" s="65">
        <f>G10*K10*0.5</f>
        <v>35394</v>
      </c>
      <c r="N10" s="65">
        <f>G10*L10*0.5</f>
        <v>48047.354999999996</v>
      </c>
      <c r="O10" s="65">
        <f>(N10*1.25+M10)</f>
        <v>95453.193749999991</v>
      </c>
      <c r="P10" s="65">
        <f t="shared" si="5"/>
        <v>23863.298437499998</v>
      </c>
      <c r="Q10" s="65">
        <f t="shared" si="6"/>
        <v>119316.49218749999</v>
      </c>
      <c r="R10" s="64">
        <f t="shared" si="7"/>
        <v>11931.649218749999</v>
      </c>
      <c r="S10" s="72"/>
      <c r="T10" s="72"/>
      <c r="U10" s="73"/>
      <c r="V10" s="73"/>
      <c r="W10" s="74"/>
      <c r="X10" s="6"/>
      <c r="Y10" s="6"/>
      <c r="Z10" s="66"/>
      <c r="AA10" s="6"/>
      <c r="AB10" s="77"/>
      <c r="AC10" s="63"/>
      <c r="AD10" s="6"/>
      <c r="AE10" s="6"/>
      <c r="AF10" s="6"/>
      <c r="AG10" s="6"/>
      <c r="AH10" s="6"/>
      <c r="AI10" s="6"/>
      <c r="AJ10" s="66"/>
      <c r="AK10" s="48"/>
      <c r="AL10" s="84"/>
      <c r="AM10" s="48"/>
      <c r="AN10" s="48"/>
      <c r="AO10" s="48"/>
      <c r="AP10" s="66"/>
      <c r="AQ10" s="6"/>
      <c r="AR10" s="6"/>
      <c r="AS10" s="80">
        <v>0.3</v>
      </c>
      <c r="AT10" s="33"/>
      <c r="AU10" s="71">
        <f t="shared" si="1"/>
        <v>0</v>
      </c>
      <c r="AV10" s="80">
        <v>0.1</v>
      </c>
      <c r="AW10" s="71">
        <f t="shared" si="8"/>
        <v>11931.649218749999</v>
      </c>
      <c r="AX10" s="64">
        <f t="shared" si="9"/>
        <v>131248.14140624998</v>
      </c>
      <c r="AY10" s="71">
        <f t="shared" si="10"/>
        <v>119316.49218749999</v>
      </c>
      <c r="AZ10" s="64">
        <f t="shared" si="11"/>
        <v>1574977.6968749999</v>
      </c>
      <c r="BA10" s="5"/>
      <c r="BB10" s="5"/>
    </row>
    <row r="11" spans="1:54">
      <c r="A11" s="5">
        <v>5</v>
      </c>
      <c r="B11" s="19" t="s">
        <v>48</v>
      </c>
      <c r="C11" s="26" t="s">
        <v>112</v>
      </c>
      <c r="D11" s="36" t="s">
        <v>191</v>
      </c>
      <c r="E11" s="42" t="s">
        <v>200</v>
      </c>
      <c r="F11" s="33" t="s">
        <v>246</v>
      </c>
      <c r="G11" s="72">
        <v>17697</v>
      </c>
      <c r="H11" s="49"/>
      <c r="I11" s="50"/>
      <c r="J11" s="49">
        <v>1</v>
      </c>
      <c r="K11" s="57"/>
      <c r="L11" s="57">
        <v>3.94</v>
      </c>
      <c r="M11" s="65">
        <f t="shared" si="2"/>
        <v>0</v>
      </c>
      <c r="N11" s="65">
        <f t="shared" si="3"/>
        <v>69726.179999999993</v>
      </c>
      <c r="O11" s="65">
        <f t="shared" si="4"/>
        <v>87157.724999999991</v>
      </c>
      <c r="P11" s="65">
        <f t="shared" si="5"/>
        <v>21789.431249999998</v>
      </c>
      <c r="Q11" s="65">
        <f t="shared" si="6"/>
        <v>108947.15624999999</v>
      </c>
      <c r="R11" s="64">
        <f t="shared" si="7"/>
        <v>10894.715624999999</v>
      </c>
      <c r="S11" s="72"/>
      <c r="T11" s="72"/>
      <c r="U11" s="73"/>
      <c r="V11" s="73"/>
      <c r="W11" s="74"/>
      <c r="X11" s="6"/>
      <c r="Y11" s="6"/>
      <c r="Z11" s="66"/>
      <c r="AA11" s="6"/>
      <c r="AB11" s="77"/>
      <c r="AC11" s="63"/>
      <c r="AD11" s="6"/>
      <c r="AE11" s="6"/>
      <c r="AF11" s="6"/>
      <c r="AG11" s="6"/>
      <c r="AH11" s="6"/>
      <c r="AI11" s="6"/>
      <c r="AJ11" s="66"/>
      <c r="AK11" s="48"/>
      <c r="AL11" s="84"/>
      <c r="AM11" s="48"/>
      <c r="AN11" s="48"/>
      <c r="AO11" s="48"/>
      <c r="AP11" s="66"/>
      <c r="AQ11" s="6"/>
      <c r="AR11" s="6"/>
      <c r="AS11" s="80">
        <v>0.3</v>
      </c>
      <c r="AT11" s="49"/>
      <c r="AU11" s="71">
        <f t="shared" si="1"/>
        <v>0</v>
      </c>
      <c r="AV11" s="80">
        <v>0.1</v>
      </c>
      <c r="AW11" s="71">
        <f t="shared" si="8"/>
        <v>10894.715624999999</v>
      </c>
      <c r="AX11" s="64">
        <f t="shared" si="9"/>
        <v>119841.87187499998</v>
      </c>
      <c r="AY11" s="71">
        <f t="shared" si="10"/>
        <v>108947.15624999999</v>
      </c>
      <c r="AZ11" s="64">
        <f t="shared" si="11"/>
        <v>1438102.4624999999</v>
      </c>
      <c r="BA11" s="5"/>
      <c r="BB11" s="5"/>
    </row>
    <row r="12" spans="1:54">
      <c r="A12" s="5">
        <v>6</v>
      </c>
      <c r="B12" s="18" t="s">
        <v>49</v>
      </c>
      <c r="C12" s="25" t="s">
        <v>113</v>
      </c>
      <c r="D12" s="36" t="s">
        <v>191</v>
      </c>
      <c r="E12" s="41" t="s">
        <v>196</v>
      </c>
      <c r="F12" s="33" t="s">
        <v>247</v>
      </c>
      <c r="G12" s="72">
        <v>17697</v>
      </c>
      <c r="H12" s="33">
        <v>21</v>
      </c>
      <c r="I12" s="50"/>
      <c r="J12" s="33"/>
      <c r="K12" s="56">
        <v>5.2</v>
      </c>
      <c r="L12" s="56"/>
      <c r="M12" s="65">
        <f>G12*K12/18*H12</f>
        <v>107361.80000000002</v>
      </c>
      <c r="N12" s="65">
        <f t="shared" si="3"/>
        <v>0</v>
      </c>
      <c r="O12" s="65">
        <f t="shared" si="4"/>
        <v>134202.25000000003</v>
      </c>
      <c r="P12" s="65">
        <f t="shared" si="5"/>
        <v>33550.562500000007</v>
      </c>
      <c r="Q12" s="65">
        <f t="shared" si="6"/>
        <v>167752.81250000003</v>
      </c>
      <c r="R12" s="64">
        <f t="shared" si="7"/>
        <v>91090.391666666677</v>
      </c>
      <c r="S12" s="72"/>
      <c r="T12" s="72"/>
      <c r="U12" s="73"/>
      <c r="V12" s="73">
        <v>0.6</v>
      </c>
      <c r="W12" s="74">
        <f>G12*V12</f>
        <v>10618.199999999999</v>
      </c>
      <c r="X12" s="6"/>
      <c r="Y12" s="6"/>
      <c r="Z12" s="66">
        <v>0.2</v>
      </c>
      <c r="AA12" s="71">
        <f>G12*Z12</f>
        <v>3539.4</v>
      </c>
      <c r="AB12" s="77">
        <v>0.5</v>
      </c>
      <c r="AC12" s="71">
        <f>G12*AB12/18*20</f>
        <v>9831.6666666666661</v>
      </c>
      <c r="AD12" s="6"/>
      <c r="AE12" s="6"/>
      <c r="AF12" s="6"/>
      <c r="AG12" s="6"/>
      <c r="AH12" s="6"/>
      <c r="AI12" s="6"/>
      <c r="AJ12" s="66"/>
      <c r="AK12" s="48"/>
      <c r="AL12" s="84"/>
      <c r="AM12" s="48"/>
      <c r="AN12" s="48"/>
      <c r="AO12" s="48"/>
      <c r="AP12" s="66"/>
      <c r="AQ12" s="6"/>
      <c r="AR12" s="6"/>
      <c r="AS12" s="80">
        <v>0.3</v>
      </c>
      <c r="AT12" s="33">
        <v>21</v>
      </c>
      <c r="AU12" s="71">
        <f t="shared" si="1"/>
        <v>50325.843750000015</v>
      </c>
      <c r="AV12" s="80">
        <v>0.1</v>
      </c>
      <c r="AW12" s="71">
        <f t="shared" si="8"/>
        <v>16775.281250000004</v>
      </c>
      <c r="AX12" s="64">
        <f t="shared" si="9"/>
        <v>258843.20416666672</v>
      </c>
      <c r="AY12" s="71">
        <f t="shared" si="10"/>
        <v>167752.81250000003</v>
      </c>
      <c r="AZ12" s="64">
        <f t="shared" si="11"/>
        <v>3106118.4500000007</v>
      </c>
      <c r="BA12" s="5"/>
      <c r="BB12" s="5"/>
    </row>
    <row r="13" spans="1:54">
      <c r="A13" s="5">
        <v>7</v>
      </c>
      <c r="B13" s="18" t="s">
        <v>50</v>
      </c>
      <c r="C13" s="25" t="s">
        <v>113</v>
      </c>
      <c r="D13" s="36" t="s">
        <v>191</v>
      </c>
      <c r="E13" s="41" t="s">
        <v>201</v>
      </c>
      <c r="F13" s="33" t="s">
        <v>248</v>
      </c>
      <c r="G13" s="72">
        <v>17697</v>
      </c>
      <c r="H13" s="33">
        <v>21</v>
      </c>
      <c r="I13" s="50"/>
      <c r="J13" s="33"/>
      <c r="K13" s="56">
        <v>5.41</v>
      </c>
      <c r="L13" s="56"/>
      <c r="M13" s="65">
        <f t="shared" si="2"/>
        <v>111697.56500000002</v>
      </c>
      <c r="N13" s="65">
        <f t="shared" si="3"/>
        <v>0</v>
      </c>
      <c r="O13" s="65">
        <f t="shared" si="4"/>
        <v>139621.95625000002</v>
      </c>
      <c r="P13" s="65">
        <f t="shared" si="5"/>
        <v>34905.489062500004</v>
      </c>
      <c r="Q13" s="65">
        <f t="shared" si="6"/>
        <v>174527.44531250003</v>
      </c>
      <c r="R13" s="64">
        <f t="shared" si="7"/>
        <v>78746.873186728408</v>
      </c>
      <c r="S13" s="72"/>
      <c r="T13" s="72"/>
      <c r="U13" s="73"/>
      <c r="V13" s="73"/>
      <c r="W13" s="74"/>
      <c r="X13" s="6"/>
      <c r="Y13" s="6"/>
      <c r="Z13" s="70"/>
      <c r="AA13" s="6"/>
      <c r="AB13" s="77">
        <v>0.5</v>
      </c>
      <c r="AC13" s="71">
        <f>G13*AB13/18*18</f>
        <v>8848.5</v>
      </c>
      <c r="AD13" s="6"/>
      <c r="AE13" s="6"/>
      <c r="AF13" s="6"/>
      <c r="AG13" s="6"/>
      <c r="AH13" s="6"/>
      <c r="AI13" s="6"/>
      <c r="AJ13" s="66">
        <v>0.4</v>
      </c>
      <c r="AK13" s="48">
        <v>4</v>
      </c>
      <c r="AL13" s="84">
        <v>1</v>
      </c>
      <c r="AM13" s="81">
        <f>7079/18*AK13/18*1</f>
        <v>87.395061728395063</v>
      </c>
      <c r="AN13" s="48"/>
      <c r="AO13" s="81"/>
      <c r="AP13" s="66"/>
      <c r="AQ13" s="6"/>
      <c r="AR13" s="6"/>
      <c r="AS13" s="80">
        <v>0.3</v>
      </c>
      <c r="AT13" s="33">
        <v>21</v>
      </c>
      <c r="AU13" s="71">
        <f t="shared" si="1"/>
        <v>52358.233593750003</v>
      </c>
      <c r="AV13" s="80">
        <v>0.1</v>
      </c>
      <c r="AW13" s="71">
        <f t="shared" si="8"/>
        <v>17452.744531250002</v>
      </c>
      <c r="AX13" s="64">
        <f t="shared" si="9"/>
        <v>253274.31849922845</v>
      </c>
      <c r="AY13" s="71">
        <f t="shared" si="10"/>
        <v>174527.44531250003</v>
      </c>
      <c r="AZ13" s="64">
        <f t="shared" si="11"/>
        <v>3039291.8219907414</v>
      </c>
      <c r="BA13" s="5"/>
      <c r="BB13" s="5"/>
    </row>
    <row r="14" spans="1:54">
      <c r="A14" s="5">
        <v>8</v>
      </c>
      <c r="B14" s="18" t="s">
        <v>51</v>
      </c>
      <c r="C14" s="25" t="s">
        <v>113</v>
      </c>
      <c r="D14" s="36" t="s">
        <v>191</v>
      </c>
      <c r="E14" s="41" t="s">
        <v>202</v>
      </c>
      <c r="F14" s="33" t="s">
        <v>248</v>
      </c>
      <c r="G14" s="72">
        <v>17697</v>
      </c>
      <c r="H14" s="33">
        <v>21</v>
      </c>
      <c r="I14" s="50"/>
      <c r="J14" s="33"/>
      <c r="K14" s="56">
        <v>5.32</v>
      </c>
      <c r="L14" s="56"/>
      <c r="M14" s="65">
        <f t="shared" si="2"/>
        <v>109839.38</v>
      </c>
      <c r="N14" s="65">
        <f t="shared" si="3"/>
        <v>0</v>
      </c>
      <c r="O14" s="65">
        <f t="shared" si="4"/>
        <v>137299.22500000001</v>
      </c>
      <c r="P14" s="65">
        <f t="shared" si="5"/>
        <v>34324.806250000001</v>
      </c>
      <c r="Q14" s="65">
        <f t="shared" si="6"/>
        <v>171624.03125</v>
      </c>
      <c r="R14" s="64">
        <f t="shared" si="7"/>
        <v>92843.930414438495</v>
      </c>
      <c r="S14" s="72"/>
      <c r="T14" s="72"/>
      <c r="U14" s="73"/>
      <c r="V14" s="73">
        <v>0.6</v>
      </c>
      <c r="W14" s="74">
        <f>G14*V14</f>
        <v>10618.199999999999</v>
      </c>
      <c r="X14" s="6"/>
      <c r="Y14" s="6"/>
      <c r="Z14" s="66">
        <v>0.2</v>
      </c>
      <c r="AA14" s="71">
        <f>G14*Z14</f>
        <v>3539.4</v>
      </c>
      <c r="AB14" s="77">
        <v>0.5</v>
      </c>
      <c r="AC14" s="71">
        <f>G14*AB14/18*20</f>
        <v>9831.6666666666661</v>
      </c>
      <c r="AD14" s="6"/>
      <c r="AE14" s="6"/>
      <c r="AF14" s="6"/>
      <c r="AG14" s="6"/>
      <c r="AH14" s="6"/>
      <c r="AI14" s="6"/>
      <c r="AJ14" s="66">
        <v>0.4</v>
      </c>
      <c r="AK14" s="48">
        <v>10</v>
      </c>
      <c r="AL14" s="84">
        <v>1</v>
      </c>
      <c r="AM14" s="81">
        <f>(7079/18*5/22*1)+(7079/18*5/17*1)</f>
        <v>205.05124777183602</v>
      </c>
      <c r="AN14" s="48"/>
      <c r="AO14" s="81"/>
      <c r="AP14" s="66"/>
      <c r="AQ14" s="6"/>
      <c r="AR14" s="6"/>
      <c r="AS14" s="80">
        <v>0.3</v>
      </c>
      <c r="AT14" s="33">
        <v>21</v>
      </c>
      <c r="AU14" s="71">
        <f t="shared" si="1"/>
        <v>51487.209375000006</v>
      </c>
      <c r="AV14" s="80">
        <v>0.1</v>
      </c>
      <c r="AW14" s="71">
        <f t="shared" si="8"/>
        <v>17162.403125000001</v>
      </c>
      <c r="AX14" s="64">
        <f t="shared" si="9"/>
        <v>264467.96166443848</v>
      </c>
      <c r="AY14" s="71">
        <f t="shared" si="10"/>
        <v>171624.03125</v>
      </c>
      <c r="AZ14" s="64">
        <f t="shared" si="11"/>
        <v>3173615.5399732618</v>
      </c>
      <c r="BA14" s="5"/>
      <c r="BB14" s="5"/>
    </row>
    <row r="15" spans="1:54">
      <c r="A15" s="24">
        <v>9</v>
      </c>
      <c r="B15" s="18" t="s">
        <v>52</v>
      </c>
      <c r="C15" s="25" t="s">
        <v>113</v>
      </c>
      <c r="D15" s="36" t="s">
        <v>191</v>
      </c>
      <c r="E15" s="41" t="s">
        <v>203</v>
      </c>
      <c r="F15" s="33" t="s">
        <v>249</v>
      </c>
      <c r="G15" s="72">
        <v>17697</v>
      </c>
      <c r="H15" s="33">
        <v>21</v>
      </c>
      <c r="I15" s="50"/>
      <c r="J15" s="33"/>
      <c r="K15" s="56">
        <v>4.66</v>
      </c>
      <c r="L15" s="56"/>
      <c r="M15" s="65">
        <f t="shared" si="2"/>
        <v>96212.690000000017</v>
      </c>
      <c r="N15" s="65">
        <f t="shared" si="3"/>
        <v>0</v>
      </c>
      <c r="O15" s="65">
        <f t="shared" si="4"/>
        <v>120265.86250000002</v>
      </c>
      <c r="P15" s="65">
        <f t="shared" si="5"/>
        <v>30066.465625000004</v>
      </c>
      <c r="Q15" s="65">
        <f t="shared" si="6"/>
        <v>150332.32812500003</v>
      </c>
      <c r="R15" s="64">
        <f t="shared" si="7"/>
        <v>75729.82359831981</v>
      </c>
      <c r="S15" s="72"/>
      <c r="T15" s="72"/>
      <c r="U15" s="73"/>
      <c r="V15" s="73">
        <v>0.6</v>
      </c>
      <c r="W15" s="74">
        <f>G15*V15</f>
        <v>10618.199999999999</v>
      </c>
      <c r="X15" s="6"/>
      <c r="Y15" s="6"/>
      <c r="Z15" s="66"/>
      <c r="AA15" s="6"/>
      <c r="AB15" s="77">
        <v>0.5</v>
      </c>
      <c r="AC15" s="71">
        <f>G15*AB15/18*10</f>
        <v>4915.833333333333</v>
      </c>
      <c r="AD15" s="6"/>
      <c r="AE15" s="6"/>
      <c r="AF15" s="6"/>
      <c r="AG15" s="6"/>
      <c r="AH15" s="6"/>
      <c r="AI15" s="6"/>
      <c r="AJ15" s="66">
        <v>0.4</v>
      </c>
      <c r="AK15" s="48">
        <v>3</v>
      </c>
      <c r="AL15" s="84">
        <v>1</v>
      </c>
      <c r="AM15" s="81">
        <f>(7079/18*1/22*1)+(7079/18*1/18*1+7079/18*1/17*1)</f>
        <v>62.859014986465965</v>
      </c>
      <c r="AN15" s="48"/>
      <c r="AO15" s="81"/>
      <c r="AP15" s="66"/>
      <c r="AQ15" s="6"/>
      <c r="AR15" s="6"/>
      <c r="AS15" s="80">
        <v>0.3</v>
      </c>
      <c r="AT15" s="33">
        <v>21</v>
      </c>
      <c r="AU15" s="71">
        <f t="shared" si="1"/>
        <v>45099.698437500003</v>
      </c>
      <c r="AV15" s="80">
        <v>0.1</v>
      </c>
      <c r="AW15" s="71">
        <f t="shared" si="8"/>
        <v>15033.232812500004</v>
      </c>
      <c r="AX15" s="64">
        <f t="shared" si="9"/>
        <v>226062.15172331984</v>
      </c>
      <c r="AY15" s="71">
        <f t="shared" si="10"/>
        <v>150332.32812500003</v>
      </c>
      <c r="AZ15" s="64">
        <f t="shared" si="11"/>
        <v>2712745.8206798378</v>
      </c>
      <c r="BA15" s="5"/>
      <c r="BB15" s="5"/>
    </row>
    <row r="16" spans="1:54">
      <c r="A16" s="5">
        <v>10</v>
      </c>
      <c r="B16" s="18" t="s">
        <v>53</v>
      </c>
      <c r="C16" s="27" t="s">
        <v>114</v>
      </c>
      <c r="D16" s="36" t="s">
        <v>191</v>
      </c>
      <c r="E16" s="41" t="s">
        <v>204</v>
      </c>
      <c r="F16" s="33" t="s">
        <v>248</v>
      </c>
      <c r="G16" s="72">
        <v>17697</v>
      </c>
      <c r="H16" s="33">
        <v>21</v>
      </c>
      <c r="I16" s="50"/>
      <c r="J16" s="33"/>
      <c r="K16" s="56">
        <v>5.41</v>
      </c>
      <c r="L16" s="56"/>
      <c r="M16" s="65">
        <f t="shared" si="2"/>
        <v>111697.56500000002</v>
      </c>
      <c r="N16" s="65">
        <f t="shared" si="3"/>
        <v>0</v>
      </c>
      <c r="O16" s="65">
        <f t="shared" si="4"/>
        <v>139621.95625000002</v>
      </c>
      <c r="P16" s="65">
        <f t="shared" si="5"/>
        <v>34905.489062500004</v>
      </c>
      <c r="Q16" s="65">
        <f t="shared" si="6"/>
        <v>174527.44531250003</v>
      </c>
      <c r="R16" s="64">
        <f t="shared" si="7"/>
        <v>79151.061458333337</v>
      </c>
      <c r="S16" s="72"/>
      <c r="T16" s="72"/>
      <c r="U16" s="73"/>
      <c r="V16" s="73"/>
      <c r="W16" s="74"/>
      <c r="X16" s="6"/>
      <c r="Y16" s="6"/>
      <c r="Z16" s="66"/>
      <c r="AA16" s="6"/>
      <c r="AB16" s="77">
        <v>0.5</v>
      </c>
      <c r="AC16" s="71">
        <f>G16*AB16/18*19</f>
        <v>9340.0833333333321</v>
      </c>
      <c r="AD16" s="6"/>
      <c r="AE16" s="6"/>
      <c r="AF16" s="6"/>
      <c r="AG16" s="6"/>
      <c r="AH16" s="6"/>
      <c r="AI16" s="6"/>
      <c r="AJ16" s="70"/>
      <c r="AK16" s="48"/>
      <c r="AL16" s="84"/>
      <c r="AM16" s="77"/>
      <c r="AN16" s="48"/>
      <c r="AO16" s="77"/>
      <c r="AP16" s="70"/>
      <c r="AQ16" s="6"/>
      <c r="AR16" s="6"/>
      <c r="AS16" s="80">
        <v>0.3</v>
      </c>
      <c r="AT16" s="33">
        <v>21</v>
      </c>
      <c r="AU16" s="71">
        <f t="shared" si="1"/>
        <v>52358.233593750003</v>
      </c>
      <c r="AV16" s="80">
        <v>0.1</v>
      </c>
      <c r="AW16" s="71">
        <f t="shared" si="8"/>
        <v>17452.744531250002</v>
      </c>
      <c r="AX16" s="64">
        <f t="shared" si="9"/>
        <v>253678.50677083337</v>
      </c>
      <c r="AY16" s="71">
        <f t="shared" si="10"/>
        <v>174527.44531250003</v>
      </c>
      <c r="AZ16" s="64">
        <f t="shared" si="11"/>
        <v>3044142.0812500003</v>
      </c>
      <c r="BA16" s="5"/>
      <c r="BB16" s="5"/>
    </row>
    <row r="17" spans="1:54">
      <c r="A17" s="5">
        <v>11</v>
      </c>
      <c r="B17" s="18" t="s">
        <v>54</v>
      </c>
      <c r="C17" s="27" t="s">
        <v>114</v>
      </c>
      <c r="D17" s="36" t="s">
        <v>191</v>
      </c>
      <c r="E17" s="41" t="s">
        <v>205</v>
      </c>
      <c r="F17" s="33" t="s">
        <v>247</v>
      </c>
      <c r="G17" s="72">
        <v>17697</v>
      </c>
      <c r="H17" s="33">
        <v>18</v>
      </c>
      <c r="I17" s="50"/>
      <c r="J17" s="33"/>
      <c r="K17" s="56">
        <v>5.2</v>
      </c>
      <c r="L17" s="56"/>
      <c r="M17" s="65">
        <f t="shared" si="2"/>
        <v>92024.400000000009</v>
      </c>
      <c r="N17" s="65">
        <f t="shared" si="3"/>
        <v>0</v>
      </c>
      <c r="O17" s="65">
        <f t="shared" si="4"/>
        <v>115030.50000000001</v>
      </c>
      <c r="P17" s="65">
        <f t="shared" si="5"/>
        <v>28757.625000000004</v>
      </c>
      <c r="Q17" s="65">
        <f t="shared" si="6"/>
        <v>143788.12500000003</v>
      </c>
      <c r="R17" s="64">
        <f t="shared" si="7"/>
        <v>63660.041666666672</v>
      </c>
      <c r="S17" s="72"/>
      <c r="T17" s="72"/>
      <c r="U17" s="73"/>
      <c r="V17" s="73"/>
      <c r="W17" s="74"/>
      <c r="X17" s="6"/>
      <c r="Y17" s="6"/>
      <c r="Z17" s="66"/>
      <c r="AA17" s="6"/>
      <c r="AB17" s="77">
        <v>0.5</v>
      </c>
      <c r="AC17" s="71">
        <f>G17*AB17/18*12.5</f>
        <v>6144.7916666666661</v>
      </c>
      <c r="AD17" s="6"/>
      <c r="AE17" s="6"/>
      <c r="AF17" s="6"/>
      <c r="AG17" s="6"/>
      <c r="AH17" s="6"/>
      <c r="AI17" s="6"/>
      <c r="AJ17" s="70"/>
      <c r="AK17" s="48"/>
      <c r="AL17" s="84"/>
      <c r="AM17" s="77"/>
      <c r="AN17" s="48"/>
      <c r="AO17" s="77"/>
      <c r="AP17" s="70"/>
      <c r="AQ17" s="6"/>
      <c r="AR17" s="6"/>
      <c r="AS17" s="80">
        <v>0.3</v>
      </c>
      <c r="AT17" s="33">
        <v>18</v>
      </c>
      <c r="AU17" s="71">
        <f t="shared" si="1"/>
        <v>43136.4375</v>
      </c>
      <c r="AV17" s="80">
        <v>0.1</v>
      </c>
      <c r="AW17" s="71">
        <f t="shared" si="8"/>
        <v>14378.812500000004</v>
      </c>
      <c r="AX17" s="64">
        <f t="shared" si="9"/>
        <v>207448.16666666669</v>
      </c>
      <c r="AY17" s="71">
        <f t="shared" si="10"/>
        <v>143788.12500000003</v>
      </c>
      <c r="AZ17" s="64">
        <f t="shared" si="11"/>
        <v>2489378</v>
      </c>
      <c r="BA17" s="5"/>
      <c r="BB17" s="5"/>
    </row>
    <row r="18" spans="1:54">
      <c r="A18" s="5">
        <v>12</v>
      </c>
      <c r="B18" s="18" t="s">
        <v>55</v>
      </c>
      <c r="C18" s="27" t="s">
        <v>114</v>
      </c>
      <c r="D18" s="36" t="s">
        <v>191</v>
      </c>
      <c r="E18" s="41" t="s">
        <v>206</v>
      </c>
      <c r="F18" s="33" t="s">
        <v>247</v>
      </c>
      <c r="G18" s="72">
        <v>17697</v>
      </c>
      <c r="H18" s="33">
        <v>21</v>
      </c>
      <c r="I18" s="50"/>
      <c r="J18" s="33"/>
      <c r="K18" s="56">
        <v>5.2</v>
      </c>
      <c r="L18" s="56"/>
      <c r="M18" s="65">
        <f t="shared" si="2"/>
        <v>107361.80000000002</v>
      </c>
      <c r="N18" s="65">
        <f t="shared" si="3"/>
        <v>0</v>
      </c>
      <c r="O18" s="65">
        <f t="shared" si="4"/>
        <v>134202.25000000003</v>
      </c>
      <c r="P18" s="65">
        <f t="shared" si="5"/>
        <v>33550.562500000007</v>
      </c>
      <c r="Q18" s="65">
        <f t="shared" si="6"/>
        <v>167752.81250000003</v>
      </c>
      <c r="R18" s="64">
        <f t="shared" si="7"/>
        <v>77809.880994152059</v>
      </c>
      <c r="S18" s="72"/>
      <c r="T18" s="72"/>
      <c r="U18" s="73"/>
      <c r="V18" s="73"/>
      <c r="W18" s="74"/>
      <c r="X18" s="6"/>
      <c r="Y18" s="6"/>
      <c r="Z18" s="66">
        <v>0.2</v>
      </c>
      <c r="AA18" s="71">
        <f>G18*Z18</f>
        <v>3539.4</v>
      </c>
      <c r="AB18" s="77">
        <v>0.5</v>
      </c>
      <c r="AC18" s="71">
        <f>G18*AB18/18*14.5</f>
        <v>7127.958333333333</v>
      </c>
      <c r="AD18" s="6"/>
      <c r="AE18" s="6"/>
      <c r="AF18" s="6"/>
      <c r="AG18" s="6"/>
      <c r="AH18" s="6"/>
      <c r="AI18" s="6"/>
      <c r="AJ18" s="66">
        <v>0.4</v>
      </c>
      <c r="AK18" s="48">
        <v>2</v>
      </c>
      <c r="AL18" s="84">
        <v>1</v>
      </c>
      <c r="AM18" s="81">
        <f>7079/18*AK18/19*1</f>
        <v>41.397660818713447</v>
      </c>
      <c r="AN18" s="48"/>
      <c r="AO18" s="81"/>
      <c r="AP18" s="66"/>
      <c r="AQ18" s="6"/>
      <c r="AR18" s="6"/>
      <c r="AS18" s="80">
        <v>0.3</v>
      </c>
      <c r="AT18" s="33">
        <v>21</v>
      </c>
      <c r="AU18" s="71">
        <f t="shared" si="1"/>
        <v>50325.843750000015</v>
      </c>
      <c r="AV18" s="80">
        <v>0.1</v>
      </c>
      <c r="AW18" s="71">
        <f t="shared" si="8"/>
        <v>16775.281250000004</v>
      </c>
      <c r="AX18" s="64">
        <f t="shared" si="9"/>
        <v>245562.6934941521</v>
      </c>
      <c r="AY18" s="71">
        <f t="shared" si="10"/>
        <v>167752.81250000003</v>
      </c>
      <c r="AZ18" s="64">
        <f t="shared" si="11"/>
        <v>2946752.3219298255</v>
      </c>
      <c r="BA18" s="5"/>
      <c r="BB18" s="5"/>
    </row>
    <row r="19" spans="1:54">
      <c r="A19" s="5">
        <v>13</v>
      </c>
      <c r="B19" s="18" t="s">
        <v>56</v>
      </c>
      <c r="C19" s="27" t="s">
        <v>114</v>
      </c>
      <c r="D19" s="36" t="s">
        <v>191</v>
      </c>
      <c r="E19" s="41" t="s">
        <v>207</v>
      </c>
      <c r="F19" s="33" t="s">
        <v>249</v>
      </c>
      <c r="G19" s="72">
        <v>17697</v>
      </c>
      <c r="H19" s="33">
        <v>21</v>
      </c>
      <c r="I19" s="50"/>
      <c r="J19" s="33"/>
      <c r="K19" s="56">
        <v>4.99</v>
      </c>
      <c r="L19" s="56"/>
      <c r="M19" s="65">
        <f t="shared" si="2"/>
        <v>103026.035</v>
      </c>
      <c r="N19" s="65">
        <f t="shared" si="3"/>
        <v>0</v>
      </c>
      <c r="O19" s="65">
        <f t="shared" si="4"/>
        <v>128782.54375000001</v>
      </c>
      <c r="P19" s="65">
        <f t="shared" si="5"/>
        <v>32195.635937500003</v>
      </c>
      <c r="Q19" s="65">
        <f t="shared" si="6"/>
        <v>160978.1796875</v>
      </c>
      <c r="R19" s="64">
        <f t="shared" si="7"/>
        <v>71417.032834265876</v>
      </c>
      <c r="S19" s="72"/>
      <c r="T19" s="72"/>
      <c r="U19" s="73"/>
      <c r="V19" s="73"/>
      <c r="W19" s="74"/>
      <c r="X19" s="6"/>
      <c r="Y19" s="6"/>
      <c r="Z19" s="66"/>
      <c r="AA19" s="6"/>
      <c r="AB19" s="77">
        <v>0.5</v>
      </c>
      <c r="AC19" s="71">
        <f>G19*AB19/18*14</f>
        <v>6882.1666666666661</v>
      </c>
      <c r="AD19" s="6"/>
      <c r="AE19" s="6"/>
      <c r="AF19" s="6"/>
      <c r="AG19" s="6"/>
      <c r="AH19" s="6"/>
      <c r="AI19" s="6"/>
      <c r="AJ19" s="66">
        <v>0.4</v>
      </c>
      <c r="AK19" s="48">
        <v>7</v>
      </c>
      <c r="AL19" s="84">
        <v>1</v>
      </c>
      <c r="AM19" s="81">
        <f>(7079/18*3/22*1)+(7079/18*2/18*1+7079/18*2/17*1)</f>
        <v>143.59429259919455</v>
      </c>
      <c r="AN19" s="48"/>
      <c r="AO19" s="81"/>
      <c r="AP19" s="66"/>
      <c r="AQ19" s="6"/>
      <c r="AR19" s="6"/>
      <c r="AS19" s="80">
        <v>0.3</v>
      </c>
      <c r="AT19" s="33">
        <v>21</v>
      </c>
      <c r="AU19" s="71">
        <f t="shared" si="1"/>
        <v>48293.453906250004</v>
      </c>
      <c r="AV19" s="80">
        <v>0.1</v>
      </c>
      <c r="AW19" s="71">
        <f t="shared" si="8"/>
        <v>16097.817968750001</v>
      </c>
      <c r="AX19" s="64">
        <f t="shared" si="9"/>
        <v>232395.21252176588</v>
      </c>
      <c r="AY19" s="71">
        <f t="shared" si="10"/>
        <v>160978.1796875</v>
      </c>
      <c r="AZ19" s="64">
        <f t="shared" si="11"/>
        <v>2788742.5502611906</v>
      </c>
      <c r="BA19" s="5"/>
      <c r="BB19" s="5"/>
    </row>
    <row r="20" spans="1:54">
      <c r="A20" s="5">
        <v>14</v>
      </c>
      <c r="B20" s="18" t="s">
        <v>57</v>
      </c>
      <c r="C20" s="27" t="s">
        <v>114</v>
      </c>
      <c r="D20" s="36" t="s">
        <v>191</v>
      </c>
      <c r="E20" s="41" t="s">
        <v>208</v>
      </c>
      <c r="F20" s="33" t="s">
        <v>249</v>
      </c>
      <c r="G20" s="72">
        <v>17697</v>
      </c>
      <c r="H20" s="33">
        <v>14</v>
      </c>
      <c r="I20" s="50">
        <v>3.5</v>
      </c>
      <c r="J20" s="33"/>
      <c r="K20" s="56">
        <v>4.74</v>
      </c>
      <c r="L20" s="56"/>
      <c r="M20" s="65">
        <f t="shared" si="2"/>
        <v>65242.94</v>
      </c>
      <c r="N20" s="65">
        <f>G20*K20/24*I20</f>
        <v>12233.051249999999</v>
      </c>
      <c r="O20" s="65">
        <f t="shared" si="4"/>
        <v>96844.989062500012</v>
      </c>
      <c r="P20" s="65">
        <f t="shared" si="5"/>
        <v>24211.247265625003</v>
      </c>
      <c r="Q20" s="65">
        <f t="shared" si="6"/>
        <v>121056.23632812501</v>
      </c>
      <c r="R20" s="64">
        <f t="shared" si="7"/>
        <v>47702.401757812506</v>
      </c>
      <c r="S20" s="72">
        <v>4</v>
      </c>
      <c r="T20" s="72">
        <f>G20*U20/18*S20</f>
        <v>1573.0666666666666</v>
      </c>
      <c r="U20" s="73">
        <v>0.4</v>
      </c>
      <c r="V20" s="73"/>
      <c r="W20" s="74"/>
      <c r="X20" s="6"/>
      <c r="Y20" s="6"/>
      <c r="Z20" s="66"/>
      <c r="AA20" s="6"/>
      <c r="AB20" s="77">
        <v>0.5</v>
      </c>
      <c r="AC20" s="71">
        <f>G20*AB20/18*7</f>
        <v>3441.083333333333</v>
      </c>
      <c r="AD20" s="6"/>
      <c r="AE20" s="6"/>
      <c r="AF20" s="6"/>
      <c r="AG20" s="6"/>
      <c r="AH20" s="6"/>
      <c r="AI20" s="6"/>
      <c r="AJ20" s="70"/>
      <c r="AK20" s="48"/>
      <c r="AL20" s="84"/>
      <c r="AM20" s="77"/>
      <c r="AN20" s="48"/>
      <c r="AO20" s="77"/>
      <c r="AP20" s="70"/>
      <c r="AQ20" s="6"/>
      <c r="AR20" s="6"/>
      <c r="AS20" s="80">
        <v>0.3</v>
      </c>
      <c r="AT20" s="33">
        <v>14</v>
      </c>
      <c r="AU20" s="71">
        <f t="shared" si="1"/>
        <v>30582.628125000003</v>
      </c>
      <c r="AV20" s="80">
        <v>0.1</v>
      </c>
      <c r="AW20" s="71">
        <f t="shared" si="8"/>
        <v>12105.623632812501</v>
      </c>
      <c r="AX20" s="64">
        <f t="shared" si="9"/>
        <v>168758.63808593753</v>
      </c>
      <c r="AY20" s="71">
        <f t="shared" si="10"/>
        <v>121056.23632812501</v>
      </c>
      <c r="AZ20" s="64">
        <f t="shared" si="11"/>
        <v>2025103.6570312504</v>
      </c>
      <c r="BA20" s="5"/>
      <c r="BB20" s="5"/>
    </row>
    <row r="21" spans="1:54" ht="15.75" customHeight="1">
      <c r="A21" s="5">
        <v>15</v>
      </c>
      <c r="B21" s="18" t="s">
        <v>58</v>
      </c>
      <c r="C21" s="27" t="s">
        <v>115</v>
      </c>
      <c r="D21" s="37" t="s">
        <v>191</v>
      </c>
      <c r="E21" s="41" t="s">
        <v>209</v>
      </c>
      <c r="F21" s="33" t="s">
        <v>248</v>
      </c>
      <c r="G21" s="72">
        <v>17697</v>
      </c>
      <c r="H21" s="33">
        <v>21</v>
      </c>
      <c r="I21" s="51"/>
      <c r="J21" s="33"/>
      <c r="K21" s="56">
        <v>5.24</v>
      </c>
      <c r="L21" s="56"/>
      <c r="M21" s="65">
        <f t="shared" si="2"/>
        <v>108187.65999999999</v>
      </c>
      <c r="N21" s="65">
        <f t="shared" si="3"/>
        <v>0</v>
      </c>
      <c r="O21" s="65">
        <f t="shared" si="4"/>
        <v>135234.57499999998</v>
      </c>
      <c r="P21" s="65">
        <f t="shared" si="5"/>
        <v>33808.643749999996</v>
      </c>
      <c r="Q21" s="65">
        <f t="shared" si="6"/>
        <v>169043.21874999997</v>
      </c>
      <c r="R21" s="64">
        <f t="shared" si="7"/>
        <v>87149.53379629628</v>
      </c>
      <c r="S21" s="72"/>
      <c r="T21" s="72"/>
      <c r="U21" s="73"/>
      <c r="V21" s="73">
        <v>0.6</v>
      </c>
      <c r="W21" s="74">
        <f>G21*V21</f>
        <v>10618.199999999999</v>
      </c>
      <c r="X21" s="10"/>
      <c r="Y21" s="10"/>
      <c r="Z21" s="66">
        <v>0.2</v>
      </c>
      <c r="AA21" s="71">
        <f>G21*Z21</f>
        <v>3539.4</v>
      </c>
      <c r="AB21" s="77">
        <v>0.4</v>
      </c>
      <c r="AC21" s="64">
        <f>G21*AB21/18*13.5</f>
        <v>5309.0999999999995</v>
      </c>
      <c r="AD21" s="10"/>
      <c r="AE21" s="10"/>
      <c r="AF21" s="10"/>
      <c r="AG21" s="10"/>
      <c r="AH21" s="10"/>
      <c r="AI21" s="10"/>
      <c r="AJ21" s="66">
        <v>0.4</v>
      </c>
      <c r="AK21" s="48">
        <v>3</v>
      </c>
      <c r="AL21" s="79">
        <v>1</v>
      </c>
      <c r="AM21" s="81">
        <f>7079/18*AK21/18*1</f>
        <v>65.546296296296291</v>
      </c>
      <c r="AN21" s="48"/>
      <c r="AO21" s="81"/>
      <c r="AP21" s="66"/>
      <c r="AQ21" s="10"/>
      <c r="AR21" s="10"/>
      <c r="AS21" s="80">
        <v>0.3</v>
      </c>
      <c r="AT21" s="33">
        <v>21</v>
      </c>
      <c r="AU21" s="71">
        <f t="shared" si="1"/>
        <v>50712.96562499999</v>
      </c>
      <c r="AV21" s="80">
        <v>0.1</v>
      </c>
      <c r="AW21" s="71">
        <f t="shared" si="8"/>
        <v>16904.321874999998</v>
      </c>
      <c r="AX21" s="64">
        <f t="shared" si="9"/>
        <v>256192.75254629625</v>
      </c>
      <c r="AY21" s="71">
        <f t="shared" si="10"/>
        <v>169043.21874999997</v>
      </c>
      <c r="AZ21" s="64">
        <f t="shared" si="11"/>
        <v>3074313.0305555551</v>
      </c>
      <c r="BA21" s="5"/>
      <c r="BB21" s="5"/>
    </row>
    <row r="22" spans="1:54" ht="15.75" customHeight="1">
      <c r="A22" s="5">
        <v>16</v>
      </c>
      <c r="B22" s="18" t="s">
        <v>59</v>
      </c>
      <c r="C22" s="27" t="s">
        <v>115</v>
      </c>
      <c r="D22" s="37" t="s">
        <v>191</v>
      </c>
      <c r="E22" s="41" t="s">
        <v>210</v>
      </c>
      <c r="F22" s="33" t="s">
        <v>249</v>
      </c>
      <c r="G22" s="72">
        <v>17697</v>
      </c>
      <c r="H22" s="33">
        <v>21</v>
      </c>
      <c r="I22" s="51"/>
      <c r="J22" s="33"/>
      <c r="K22" s="56">
        <v>4.99</v>
      </c>
      <c r="L22" s="56"/>
      <c r="M22" s="65">
        <f t="shared" si="2"/>
        <v>103026.035</v>
      </c>
      <c r="N22" s="65">
        <f t="shared" si="3"/>
        <v>0</v>
      </c>
      <c r="O22" s="65">
        <f t="shared" si="4"/>
        <v>128782.54375000001</v>
      </c>
      <c r="P22" s="65">
        <f t="shared" si="5"/>
        <v>32195.635937500003</v>
      </c>
      <c r="Q22" s="65">
        <f t="shared" si="6"/>
        <v>160978.1796875</v>
      </c>
      <c r="R22" s="64">
        <f t="shared" si="7"/>
        <v>71003.202623663106</v>
      </c>
      <c r="S22" s="72"/>
      <c r="T22" s="72"/>
      <c r="U22" s="73"/>
      <c r="V22" s="73"/>
      <c r="W22" s="74"/>
      <c r="X22" s="10"/>
      <c r="Y22" s="10"/>
      <c r="Z22" s="66"/>
      <c r="AA22" s="10"/>
      <c r="AB22" s="77">
        <v>0.4</v>
      </c>
      <c r="AC22" s="64">
        <f>G22*AB22/18*16.5</f>
        <v>6488.9</v>
      </c>
      <c r="AD22" s="10"/>
      <c r="AE22" s="10"/>
      <c r="AF22" s="10"/>
      <c r="AG22" s="10"/>
      <c r="AH22" s="10"/>
      <c r="AI22" s="10"/>
      <c r="AJ22" s="66">
        <v>0.4</v>
      </c>
      <c r="AK22" s="48">
        <v>6</v>
      </c>
      <c r="AL22" s="79">
        <v>1</v>
      </c>
      <c r="AM22" s="81">
        <f>(7079/18*3/22*1)+(7079/18*3/17*1)</f>
        <v>123.03074866310159</v>
      </c>
      <c r="AN22" s="48"/>
      <c r="AO22" s="81"/>
      <c r="AP22" s="66"/>
      <c r="AQ22" s="10"/>
      <c r="AR22" s="10"/>
      <c r="AS22" s="80">
        <v>0.3</v>
      </c>
      <c r="AT22" s="33">
        <v>21</v>
      </c>
      <c r="AU22" s="71">
        <f t="shared" si="1"/>
        <v>48293.453906250004</v>
      </c>
      <c r="AV22" s="80">
        <v>0.1</v>
      </c>
      <c r="AW22" s="71">
        <f t="shared" si="8"/>
        <v>16097.817968750001</v>
      </c>
      <c r="AX22" s="64">
        <f t="shared" si="9"/>
        <v>231981.38231116312</v>
      </c>
      <c r="AY22" s="71">
        <f t="shared" si="10"/>
        <v>160978.1796875</v>
      </c>
      <c r="AZ22" s="64">
        <f t="shared" si="11"/>
        <v>2783776.5877339575</v>
      </c>
      <c r="BA22" s="5"/>
      <c r="BB22" s="5"/>
    </row>
    <row r="23" spans="1:54" ht="15.75" customHeight="1">
      <c r="A23" s="5">
        <v>17</v>
      </c>
      <c r="B23" s="18" t="s">
        <v>60</v>
      </c>
      <c r="C23" s="27" t="s">
        <v>115</v>
      </c>
      <c r="D23" s="37" t="s">
        <v>191</v>
      </c>
      <c r="E23" s="41" t="s">
        <v>211</v>
      </c>
      <c r="F23" s="33" t="s">
        <v>249</v>
      </c>
      <c r="G23" s="72">
        <v>17697</v>
      </c>
      <c r="H23" s="33">
        <v>19</v>
      </c>
      <c r="I23" s="51"/>
      <c r="J23" s="33"/>
      <c r="K23" s="56">
        <v>4.59</v>
      </c>
      <c r="L23" s="56"/>
      <c r="M23" s="65">
        <f t="shared" si="2"/>
        <v>85741.964999999997</v>
      </c>
      <c r="N23" s="65">
        <f t="shared" si="3"/>
        <v>0</v>
      </c>
      <c r="O23" s="65">
        <f t="shared" si="4"/>
        <v>107177.45624999999</v>
      </c>
      <c r="P23" s="65">
        <f t="shared" si="5"/>
        <v>26794.364062499997</v>
      </c>
      <c r="Q23" s="65">
        <f t="shared" si="6"/>
        <v>133971.8203125</v>
      </c>
      <c r="R23" s="64">
        <f t="shared" si="7"/>
        <v>70933.859119152039</v>
      </c>
      <c r="S23" s="72"/>
      <c r="T23" s="72"/>
      <c r="U23" s="73"/>
      <c r="V23" s="73">
        <v>0.6</v>
      </c>
      <c r="W23" s="74">
        <f>G23*V23</f>
        <v>10618.199999999999</v>
      </c>
      <c r="X23" s="10"/>
      <c r="Y23" s="10"/>
      <c r="Z23" s="66"/>
      <c r="AA23" s="10"/>
      <c r="AB23" s="77">
        <v>0.4</v>
      </c>
      <c r="AC23" s="64">
        <f>G23*AB23/18*17</f>
        <v>6685.5333333333328</v>
      </c>
      <c r="AD23" s="10"/>
      <c r="AE23" s="10"/>
      <c r="AF23" s="10"/>
      <c r="AG23" s="10"/>
      <c r="AH23" s="10"/>
      <c r="AI23" s="10"/>
      <c r="AJ23" s="66">
        <v>0.4</v>
      </c>
      <c r="AK23" s="48">
        <v>2</v>
      </c>
      <c r="AL23" s="79">
        <v>1</v>
      </c>
      <c r="AM23" s="81">
        <f>7079/18*AK23/19*1</f>
        <v>41.397660818713447</v>
      </c>
      <c r="AN23" s="48"/>
      <c r="AO23" s="81"/>
      <c r="AP23" s="66"/>
      <c r="AQ23" s="10"/>
      <c r="AR23" s="10"/>
      <c r="AS23" s="80">
        <v>0.3</v>
      </c>
      <c r="AT23" s="33">
        <v>19</v>
      </c>
      <c r="AU23" s="71">
        <f t="shared" si="1"/>
        <v>40191.546093749996</v>
      </c>
      <c r="AV23" s="80">
        <v>0.1</v>
      </c>
      <c r="AW23" s="71">
        <f t="shared" si="8"/>
        <v>13397.18203125</v>
      </c>
      <c r="AX23" s="64">
        <f t="shared" si="9"/>
        <v>204905.67943165204</v>
      </c>
      <c r="AY23" s="71">
        <f t="shared" si="10"/>
        <v>133971.8203125</v>
      </c>
      <c r="AZ23" s="64">
        <f t="shared" si="11"/>
        <v>2458868.1531798244</v>
      </c>
      <c r="BA23" s="5"/>
      <c r="BB23" s="5"/>
    </row>
    <row r="24" spans="1:54" ht="15.75" customHeight="1">
      <c r="A24" s="5">
        <v>18</v>
      </c>
      <c r="B24" s="18" t="s">
        <v>61</v>
      </c>
      <c r="C24" s="27" t="s">
        <v>115</v>
      </c>
      <c r="D24" s="37" t="s">
        <v>191</v>
      </c>
      <c r="E24" s="41" t="s">
        <v>212</v>
      </c>
      <c r="F24" s="33" t="s">
        <v>250</v>
      </c>
      <c r="G24" s="72">
        <v>17697</v>
      </c>
      <c r="H24" s="33">
        <v>18</v>
      </c>
      <c r="I24" s="51"/>
      <c r="J24" s="33"/>
      <c r="K24" s="56">
        <v>4.33</v>
      </c>
      <c r="L24" s="56"/>
      <c r="M24" s="65">
        <f t="shared" si="2"/>
        <v>76628.009999999995</v>
      </c>
      <c r="N24" s="65">
        <f t="shared" si="3"/>
        <v>0</v>
      </c>
      <c r="O24" s="65">
        <f t="shared" si="4"/>
        <v>95785.012499999997</v>
      </c>
      <c r="P24" s="65">
        <f t="shared" si="5"/>
        <v>23946.253124999999</v>
      </c>
      <c r="Q24" s="65">
        <f t="shared" si="6"/>
        <v>119731.265625</v>
      </c>
      <c r="R24" s="64">
        <f t="shared" si="7"/>
        <v>63229.90625</v>
      </c>
      <c r="S24" s="72">
        <v>4</v>
      </c>
      <c r="T24" s="72">
        <f>G24*U24/18*S24</f>
        <v>1573.0666666666666</v>
      </c>
      <c r="U24" s="73">
        <v>0.4</v>
      </c>
      <c r="V24" s="73">
        <v>0.6</v>
      </c>
      <c r="W24" s="74">
        <f>G24*V24</f>
        <v>10618.199999999999</v>
      </c>
      <c r="X24" s="10"/>
      <c r="Y24" s="10"/>
      <c r="Z24" s="66"/>
      <c r="AA24" s="10"/>
      <c r="AB24" s="77">
        <v>0.4</v>
      </c>
      <c r="AC24" s="64">
        <f>G24*AB24/18*8</f>
        <v>3146.1333333333332</v>
      </c>
      <c r="AD24" s="10"/>
      <c r="AE24" s="10"/>
      <c r="AF24" s="10"/>
      <c r="AG24" s="10"/>
      <c r="AH24" s="10"/>
      <c r="AI24" s="10"/>
      <c r="AJ24" s="82"/>
      <c r="AK24" s="48"/>
      <c r="AL24" s="79"/>
      <c r="AM24" s="77"/>
      <c r="AN24" s="48"/>
      <c r="AO24" s="77"/>
      <c r="AP24" s="82"/>
      <c r="AQ24" s="10"/>
      <c r="AR24" s="10"/>
      <c r="AS24" s="80">
        <v>0.3</v>
      </c>
      <c r="AT24" s="33">
        <v>18</v>
      </c>
      <c r="AU24" s="71">
        <f t="shared" si="1"/>
        <v>35919.379687499997</v>
      </c>
      <c r="AV24" s="80">
        <v>0.1</v>
      </c>
      <c r="AW24" s="71">
        <f t="shared" si="8"/>
        <v>11973.126562500001</v>
      </c>
      <c r="AX24" s="64">
        <f t="shared" si="9"/>
        <v>182961.171875</v>
      </c>
      <c r="AY24" s="71">
        <f t="shared" si="10"/>
        <v>119731.265625</v>
      </c>
      <c r="AZ24" s="64">
        <f t="shared" si="11"/>
        <v>2195534.0625</v>
      </c>
      <c r="BA24" s="5"/>
      <c r="BB24" s="5"/>
    </row>
    <row r="25" spans="1:54" ht="15.75" customHeight="1">
      <c r="A25" s="5">
        <v>19</v>
      </c>
      <c r="B25" s="18" t="s">
        <v>62</v>
      </c>
      <c r="C25" s="27" t="s">
        <v>115</v>
      </c>
      <c r="D25" s="37" t="s">
        <v>191</v>
      </c>
      <c r="E25" s="43" t="s">
        <v>213</v>
      </c>
      <c r="F25" s="33" t="s">
        <v>250</v>
      </c>
      <c r="G25" s="72">
        <v>17697</v>
      </c>
      <c r="H25" s="33">
        <v>20</v>
      </c>
      <c r="I25" s="51"/>
      <c r="J25" s="33"/>
      <c r="K25" s="56">
        <v>4.1399999999999997</v>
      </c>
      <c r="L25" s="56"/>
      <c r="M25" s="65">
        <f t="shared" si="2"/>
        <v>81406.199999999983</v>
      </c>
      <c r="N25" s="65">
        <f t="shared" si="3"/>
        <v>0</v>
      </c>
      <c r="O25" s="65">
        <f t="shared" si="4"/>
        <v>101757.74999999997</v>
      </c>
      <c r="P25" s="65">
        <f t="shared" si="5"/>
        <v>25439.437499999993</v>
      </c>
      <c r="Q25" s="65">
        <f t="shared" si="6"/>
        <v>127197.18749999997</v>
      </c>
      <c r="R25" s="64">
        <f t="shared" si="7"/>
        <v>55401.441666666651</v>
      </c>
      <c r="S25" s="72"/>
      <c r="T25" s="72"/>
      <c r="U25" s="73"/>
      <c r="V25" s="73"/>
      <c r="W25" s="74"/>
      <c r="X25" s="10"/>
      <c r="Y25" s="10"/>
      <c r="Z25" s="66"/>
      <c r="AA25" s="10"/>
      <c r="AB25" s="77">
        <v>0.4</v>
      </c>
      <c r="AC25" s="64">
        <f>G25*AB25/18*11.5</f>
        <v>4522.5666666666666</v>
      </c>
      <c r="AD25" s="10"/>
      <c r="AE25" s="10"/>
      <c r="AF25" s="10"/>
      <c r="AG25" s="10"/>
      <c r="AH25" s="10"/>
      <c r="AI25" s="10"/>
      <c r="AJ25" s="82"/>
      <c r="AK25" s="48"/>
      <c r="AL25" s="79"/>
      <c r="AM25" s="77"/>
      <c r="AN25" s="48"/>
      <c r="AO25" s="77"/>
      <c r="AP25" s="82"/>
      <c r="AQ25" s="10"/>
      <c r="AR25" s="10"/>
      <c r="AS25" s="80">
        <v>0.3</v>
      </c>
      <c r="AT25" s="33">
        <v>20</v>
      </c>
      <c r="AU25" s="71">
        <f t="shared" si="1"/>
        <v>38159.156249999985</v>
      </c>
      <c r="AV25" s="80">
        <v>0.1</v>
      </c>
      <c r="AW25" s="71">
        <f t="shared" si="8"/>
        <v>12719.718749999998</v>
      </c>
      <c r="AX25" s="64">
        <f t="shared" si="9"/>
        <v>182598.62916666662</v>
      </c>
      <c r="AY25" s="71">
        <f t="shared" si="10"/>
        <v>127197.18749999997</v>
      </c>
      <c r="AZ25" s="64">
        <f t="shared" si="11"/>
        <v>2191183.5499999993</v>
      </c>
      <c r="BA25" s="5"/>
      <c r="BB25" s="5"/>
    </row>
    <row r="26" spans="1:54" ht="15.75" customHeight="1">
      <c r="A26" s="5">
        <v>20</v>
      </c>
      <c r="B26" s="18" t="s">
        <v>63</v>
      </c>
      <c r="C26" s="28" t="s">
        <v>400</v>
      </c>
      <c r="D26" s="37" t="s">
        <v>191</v>
      </c>
      <c r="E26" s="41" t="s">
        <v>214</v>
      </c>
      <c r="F26" s="33" t="s">
        <v>251</v>
      </c>
      <c r="G26" s="72">
        <v>17697</v>
      </c>
      <c r="H26" s="33">
        <v>7</v>
      </c>
      <c r="I26" s="51"/>
      <c r="J26" s="33">
        <v>0.5</v>
      </c>
      <c r="K26" s="56">
        <v>4.8099999999999996</v>
      </c>
      <c r="L26" s="56">
        <v>3.94</v>
      </c>
      <c r="M26" s="65">
        <f t="shared" si="2"/>
        <v>33103.221666666665</v>
      </c>
      <c r="N26" s="65">
        <f t="shared" si="3"/>
        <v>34863.089999999997</v>
      </c>
      <c r="O26" s="65">
        <f>(M26*1.25+N26)</f>
        <v>76242.117083333331</v>
      </c>
      <c r="P26" s="65">
        <f t="shared" si="5"/>
        <v>19060.529270833333</v>
      </c>
      <c r="Q26" s="65">
        <f t="shared" si="6"/>
        <v>95302.64635416666</v>
      </c>
      <c r="R26" s="64">
        <f t="shared" si="7"/>
        <v>25833.933124999996</v>
      </c>
      <c r="S26" s="72">
        <v>2</v>
      </c>
      <c r="T26" s="72">
        <f>G26*U26/18*S26</f>
        <v>786.5333333333333</v>
      </c>
      <c r="U26" s="73">
        <v>0.4</v>
      </c>
      <c r="V26" s="73"/>
      <c r="W26" s="74"/>
      <c r="X26" s="10"/>
      <c r="Y26" s="10"/>
      <c r="Z26" s="66"/>
      <c r="AA26" s="10"/>
      <c r="AB26" s="77"/>
      <c r="AC26" s="69"/>
      <c r="AD26" s="10"/>
      <c r="AE26" s="10"/>
      <c r="AF26" s="10"/>
      <c r="AG26" s="10"/>
      <c r="AH26" s="10"/>
      <c r="AI26" s="10"/>
      <c r="AJ26" s="82"/>
      <c r="AK26" s="48"/>
      <c r="AL26" s="79"/>
      <c r="AM26" s="77"/>
      <c r="AN26" s="48"/>
      <c r="AO26" s="77"/>
      <c r="AP26" s="82"/>
      <c r="AQ26" s="10"/>
      <c r="AR26" s="10"/>
      <c r="AS26" s="80">
        <v>0.3</v>
      </c>
      <c r="AT26" s="33">
        <v>7</v>
      </c>
      <c r="AU26" s="71">
        <f t="shared" si="1"/>
        <v>15517.135156249999</v>
      </c>
      <c r="AV26" s="80">
        <v>0.1</v>
      </c>
      <c r="AW26" s="71">
        <f t="shared" si="8"/>
        <v>9530.2646354166664</v>
      </c>
      <c r="AX26" s="64">
        <f t="shared" si="9"/>
        <v>121136.57947916666</v>
      </c>
      <c r="AY26" s="71">
        <f t="shared" si="10"/>
        <v>95302.64635416666</v>
      </c>
      <c r="AZ26" s="64">
        <f t="shared" si="11"/>
        <v>1453638.9537499999</v>
      </c>
      <c r="BA26" s="5"/>
      <c r="BB26" s="5"/>
    </row>
    <row r="27" spans="1:54" ht="15.75" customHeight="1">
      <c r="A27" s="5">
        <v>21</v>
      </c>
      <c r="B27" s="18" t="s">
        <v>64</v>
      </c>
      <c r="C27" s="27" t="s">
        <v>116</v>
      </c>
      <c r="D27" s="37" t="s">
        <v>191</v>
      </c>
      <c r="E27" s="41" t="s">
        <v>205</v>
      </c>
      <c r="F27" s="33" t="s">
        <v>247</v>
      </c>
      <c r="G27" s="72">
        <v>17697</v>
      </c>
      <c r="H27" s="33">
        <v>19</v>
      </c>
      <c r="I27" s="51"/>
      <c r="J27" s="33"/>
      <c r="K27" s="56">
        <v>5.2</v>
      </c>
      <c r="L27" s="56"/>
      <c r="M27" s="65">
        <f t="shared" si="2"/>
        <v>97136.866666666669</v>
      </c>
      <c r="N27" s="65">
        <f t="shared" si="3"/>
        <v>0</v>
      </c>
      <c r="O27" s="65">
        <f t="shared" si="4"/>
        <v>121421.08333333334</v>
      </c>
      <c r="P27" s="65">
        <f t="shared" si="5"/>
        <v>30355.270833333336</v>
      </c>
      <c r="Q27" s="65">
        <f t="shared" si="6"/>
        <v>151776.35416666669</v>
      </c>
      <c r="R27" s="64">
        <f t="shared" si="7"/>
        <v>111414.72389417047</v>
      </c>
      <c r="S27" s="72"/>
      <c r="T27" s="72"/>
      <c r="U27" s="73"/>
      <c r="V27" s="73">
        <v>0.6</v>
      </c>
      <c r="W27" s="74">
        <f>G27*V27*0.5</f>
        <v>5309.0999999999995</v>
      </c>
      <c r="X27" s="68">
        <v>2</v>
      </c>
      <c r="Y27" s="69">
        <f>G27*X27</f>
        <v>35394</v>
      </c>
      <c r="Z27" s="66">
        <v>0.2</v>
      </c>
      <c r="AA27" s="71">
        <f>G27*Z27</f>
        <v>3539.4</v>
      </c>
      <c r="AB27" s="77">
        <v>0.4</v>
      </c>
      <c r="AC27" s="64">
        <f>G27*AB27/18*16</f>
        <v>6292.2666666666664</v>
      </c>
      <c r="AD27" s="10"/>
      <c r="AE27" s="10"/>
      <c r="AF27" s="10"/>
      <c r="AG27" s="10"/>
      <c r="AH27" s="10"/>
      <c r="AI27" s="10"/>
      <c r="AJ27" s="66">
        <v>0.4</v>
      </c>
      <c r="AK27" s="48">
        <v>8</v>
      </c>
      <c r="AL27" s="79">
        <v>1</v>
      </c>
      <c r="AM27" s="81">
        <f>(7079/18*2/22*1)+(7079/18*4/18*1+7079/18*2/17*1)</f>
        <v>169.41556083712948</v>
      </c>
      <c r="AN27" s="48"/>
      <c r="AO27" s="81"/>
      <c r="AP27" s="66"/>
      <c r="AQ27" s="10"/>
      <c r="AR27" s="10"/>
      <c r="AS27" s="80">
        <v>0.3</v>
      </c>
      <c r="AT27" s="33">
        <v>19</v>
      </c>
      <c r="AU27" s="71">
        <f t="shared" si="1"/>
        <v>45532.906250000007</v>
      </c>
      <c r="AV27" s="80">
        <v>0.1</v>
      </c>
      <c r="AW27" s="71">
        <f t="shared" si="8"/>
        <v>15177.63541666667</v>
      </c>
      <c r="AX27" s="64">
        <f t="shared" si="9"/>
        <v>263191.07806083717</v>
      </c>
      <c r="AY27" s="71">
        <f t="shared" si="10"/>
        <v>151776.35416666669</v>
      </c>
      <c r="AZ27" s="64">
        <f t="shared" si="11"/>
        <v>3158292.9367300458</v>
      </c>
      <c r="BA27" s="5"/>
      <c r="BB27" s="5"/>
    </row>
    <row r="28" spans="1:54" ht="15.75" customHeight="1">
      <c r="A28" s="5">
        <v>22</v>
      </c>
      <c r="B28" s="18" t="s">
        <v>65</v>
      </c>
      <c r="C28" s="27" t="s">
        <v>137</v>
      </c>
      <c r="D28" s="37" t="s">
        <v>191</v>
      </c>
      <c r="E28" s="41" t="s">
        <v>215</v>
      </c>
      <c r="F28" s="33" t="s">
        <v>252</v>
      </c>
      <c r="G28" s="72">
        <v>17697</v>
      </c>
      <c r="H28" s="33">
        <v>5</v>
      </c>
      <c r="I28" s="51"/>
      <c r="J28" s="33">
        <v>1</v>
      </c>
      <c r="K28" s="56">
        <v>5.03</v>
      </c>
      <c r="L28" s="56">
        <v>4.0599999999999996</v>
      </c>
      <c r="M28" s="65">
        <f t="shared" si="2"/>
        <v>24726.64166666667</v>
      </c>
      <c r="N28" s="65">
        <f t="shared" si="3"/>
        <v>71849.819999999992</v>
      </c>
      <c r="O28" s="65">
        <f>(M28*1.25+N28)</f>
        <v>102758.12208333332</v>
      </c>
      <c r="P28" s="65">
        <f t="shared" si="5"/>
        <v>25689.53052083333</v>
      </c>
      <c r="Q28" s="65">
        <f t="shared" si="6"/>
        <v>128447.65260416665</v>
      </c>
      <c r="R28" s="64">
        <f t="shared" si="7"/>
        <v>27974.778541666667</v>
      </c>
      <c r="S28" s="72"/>
      <c r="T28" s="72"/>
      <c r="U28" s="73"/>
      <c r="V28" s="73"/>
      <c r="W28" s="74"/>
      <c r="X28" s="10"/>
      <c r="Y28" s="10"/>
      <c r="Z28" s="66">
        <v>0.2</v>
      </c>
      <c r="AA28" s="71">
        <f>G28*Z28</f>
        <v>3539.4</v>
      </c>
      <c r="AB28" s="77"/>
      <c r="AC28" s="69"/>
      <c r="AD28" s="10"/>
      <c r="AE28" s="10"/>
      <c r="AF28" s="10"/>
      <c r="AG28" s="10"/>
      <c r="AH28" s="10"/>
      <c r="AI28" s="10"/>
      <c r="AJ28" s="82"/>
      <c r="AK28" s="48"/>
      <c r="AL28" s="79"/>
      <c r="AM28" s="77"/>
      <c r="AN28" s="48"/>
      <c r="AO28" s="77"/>
      <c r="AP28" s="82"/>
      <c r="AQ28" s="10"/>
      <c r="AR28" s="10"/>
      <c r="AS28" s="80">
        <v>0.3</v>
      </c>
      <c r="AT28" s="33">
        <v>5</v>
      </c>
      <c r="AU28" s="71">
        <f t="shared" si="1"/>
        <v>11590.61328125</v>
      </c>
      <c r="AV28" s="80">
        <v>0.1</v>
      </c>
      <c r="AW28" s="71">
        <f t="shared" si="8"/>
        <v>12844.765260416665</v>
      </c>
      <c r="AX28" s="64">
        <f t="shared" si="9"/>
        <v>156422.43114583331</v>
      </c>
      <c r="AY28" s="71">
        <f t="shared" si="10"/>
        <v>128447.65260416665</v>
      </c>
      <c r="AZ28" s="64">
        <f t="shared" si="11"/>
        <v>1877069.1737499996</v>
      </c>
      <c r="BA28" s="5"/>
      <c r="BB28" s="5"/>
    </row>
    <row r="29" spans="1:54" ht="15.75" customHeight="1">
      <c r="A29" s="5">
        <v>23</v>
      </c>
      <c r="B29" s="18" t="s">
        <v>66</v>
      </c>
      <c r="C29" s="27" t="s">
        <v>138</v>
      </c>
      <c r="D29" s="37" t="s">
        <v>191</v>
      </c>
      <c r="E29" s="41" t="s">
        <v>216</v>
      </c>
      <c r="F29" s="33" t="s">
        <v>253</v>
      </c>
      <c r="G29" s="72">
        <v>17697</v>
      </c>
      <c r="H29" s="33">
        <v>5</v>
      </c>
      <c r="I29" s="51"/>
      <c r="J29" s="33">
        <v>1</v>
      </c>
      <c r="K29" s="58">
        <v>4.33</v>
      </c>
      <c r="L29" s="56">
        <v>3.85</v>
      </c>
      <c r="M29" s="65">
        <f t="shared" si="2"/>
        <v>21285.558333333334</v>
      </c>
      <c r="N29" s="65">
        <f t="shared" si="3"/>
        <v>68133.45</v>
      </c>
      <c r="O29" s="65">
        <f>(M29*1.25+N29)</f>
        <v>94740.397916666669</v>
      </c>
      <c r="P29" s="65">
        <f t="shared" si="5"/>
        <v>23685.099479166667</v>
      </c>
      <c r="Q29" s="65">
        <f t="shared" si="6"/>
        <v>118425.49739583334</v>
      </c>
      <c r="R29" s="64">
        <f t="shared" si="7"/>
        <v>32484.623182189542</v>
      </c>
      <c r="S29" s="72"/>
      <c r="T29" s="72"/>
      <c r="U29" s="73"/>
      <c r="V29" s="73">
        <v>0.6</v>
      </c>
      <c r="W29" s="74">
        <f>G29*V29</f>
        <v>10618.199999999999</v>
      </c>
      <c r="X29" s="10"/>
      <c r="Y29" s="10"/>
      <c r="Z29" s="66"/>
      <c r="AA29" s="10"/>
      <c r="AB29" s="77"/>
      <c r="AC29" s="69"/>
      <c r="AD29" s="10"/>
      <c r="AE29" s="10"/>
      <c r="AF29" s="10"/>
      <c r="AG29" s="10"/>
      <c r="AH29" s="10"/>
      <c r="AI29" s="10"/>
      <c r="AJ29" s="66">
        <v>0.4</v>
      </c>
      <c r="AK29" s="48">
        <v>2</v>
      </c>
      <c r="AL29" s="79">
        <v>1</v>
      </c>
      <c r="AM29" s="81">
        <f>7079/18*AK29/17*1</f>
        <v>46.267973856209153</v>
      </c>
      <c r="AN29" s="48"/>
      <c r="AO29" s="81"/>
      <c r="AP29" s="66"/>
      <c r="AQ29" s="10"/>
      <c r="AR29" s="10"/>
      <c r="AS29" s="80">
        <v>0.3</v>
      </c>
      <c r="AT29" s="33">
        <v>5</v>
      </c>
      <c r="AU29" s="71">
        <f t="shared" si="1"/>
        <v>9977.60546875</v>
      </c>
      <c r="AV29" s="80">
        <v>0.1</v>
      </c>
      <c r="AW29" s="71">
        <f t="shared" si="8"/>
        <v>11842.549739583335</v>
      </c>
      <c r="AX29" s="64">
        <f t="shared" si="9"/>
        <v>150910.12057802288</v>
      </c>
      <c r="AY29" s="71">
        <f t="shared" si="10"/>
        <v>118425.49739583334</v>
      </c>
      <c r="AZ29" s="64">
        <f t="shared" si="11"/>
        <v>1810921.4469362744</v>
      </c>
      <c r="BA29" s="5"/>
      <c r="BB29" s="5"/>
    </row>
    <row r="30" spans="1:54" ht="15.75" customHeight="1">
      <c r="A30" s="5">
        <v>24</v>
      </c>
      <c r="B30" s="18" t="s">
        <v>67</v>
      </c>
      <c r="C30" s="27" t="s">
        <v>117</v>
      </c>
      <c r="D30" s="37" t="s">
        <v>191</v>
      </c>
      <c r="E30" s="41" t="s">
        <v>217</v>
      </c>
      <c r="F30" s="33" t="s">
        <v>247</v>
      </c>
      <c r="G30" s="72">
        <v>17697</v>
      </c>
      <c r="H30" s="33">
        <v>21</v>
      </c>
      <c r="I30" s="51"/>
      <c r="J30" s="33"/>
      <c r="K30" s="56">
        <v>5.2</v>
      </c>
      <c r="L30" s="56"/>
      <c r="M30" s="65">
        <f t="shared" si="2"/>
        <v>107361.80000000002</v>
      </c>
      <c r="N30" s="65">
        <f t="shared" si="3"/>
        <v>0</v>
      </c>
      <c r="O30" s="65">
        <f t="shared" si="4"/>
        <v>134202.25000000003</v>
      </c>
      <c r="P30" s="65">
        <f t="shared" si="5"/>
        <v>33550.562500000007</v>
      </c>
      <c r="Q30" s="65">
        <f t="shared" si="6"/>
        <v>167752.81250000003</v>
      </c>
      <c r="R30" s="64">
        <f t="shared" si="7"/>
        <v>67208.96676734669</v>
      </c>
      <c r="S30" s="72"/>
      <c r="T30" s="72"/>
      <c r="U30" s="73"/>
      <c r="V30" s="73"/>
      <c r="W30" s="74"/>
      <c r="X30" s="10"/>
      <c r="Y30" s="10"/>
      <c r="Z30" s="66"/>
      <c r="AA30" s="10"/>
      <c r="AB30" s="77"/>
      <c r="AC30" s="69"/>
      <c r="AD30" s="10"/>
      <c r="AE30" s="10"/>
      <c r="AF30" s="10"/>
      <c r="AG30" s="10"/>
      <c r="AH30" s="10"/>
      <c r="AI30" s="10"/>
      <c r="AJ30" s="66">
        <v>0.4</v>
      </c>
      <c r="AK30" s="48">
        <v>5</v>
      </c>
      <c r="AL30" s="79">
        <v>1</v>
      </c>
      <c r="AM30" s="81">
        <f>(7079/18*1/22*1)+(7079/18*2/18*1+7079/18*2/17*1)</f>
        <v>107.84176734666931</v>
      </c>
      <c r="AN30" s="48"/>
      <c r="AO30" s="81"/>
      <c r="AP30" s="66"/>
      <c r="AQ30" s="10"/>
      <c r="AR30" s="10"/>
      <c r="AS30" s="80">
        <v>0.3</v>
      </c>
      <c r="AT30" s="33">
        <v>21</v>
      </c>
      <c r="AU30" s="71">
        <f t="shared" si="1"/>
        <v>50325.843750000015</v>
      </c>
      <c r="AV30" s="80">
        <v>0.1</v>
      </c>
      <c r="AW30" s="71">
        <f t="shared" si="8"/>
        <v>16775.281250000004</v>
      </c>
      <c r="AX30" s="64">
        <f t="shared" si="9"/>
        <v>234961.77926734672</v>
      </c>
      <c r="AY30" s="71">
        <f t="shared" si="10"/>
        <v>167752.81250000003</v>
      </c>
      <c r="AZ30" s="64">
        <f t="shared" si="11"/>
        <v>2819541.3512081606</v>
      </c>
      <c r="BA30" s="5"/>
      <c r="BB30" s="5"/>
    </row>
    <row r="31" spans="1:54" ht="15.75" customHeight="1">
      <c r="A31" s="5">
        <v>25</v>
      </c>
      <c r="B31" s="18" t="s">
        <v>68</v>
      </c>
      <c r="C31" s="27" t="s">
        <v>139</v>
      </c>
      <c r="D31" s="37" t="s">
        <v>191</v>
      </c>
      <c r="E31" s="41" t="s">
        <v>218</v>
      </c>
      <c r="F31" s="33" t="s">
        <v>251</v>
      </c>
      <c r="G31" s="72">
        <v>17697</v>
      </c>
      <c r="H31" s="33">
        <v>11</v>
      </c>
      <c r="I31" s="51"/>
      <c r="J31" s="33">
        <v>0.5</v>
      </c>
      <c r="K31" s="56">
        <v>4.9000000000000004</v>
      </c>
      <c r="L31" s="56">
        <v>4</v>
      </c>
      <c r="M31" s="65">
        <f t="shared" si="2"/>
        <v>52992.683333333334</v>
      </c>
      <c r="N31" s="65">
        <f t="shared" si="3"/>
        <v>35394</v>
      </c>
      <c r="O31" s="65">
        <f>(M31*1.25+N31)</f>
        <v>101634.85416666667</v>
      </c>
      <c r="P31" s="65">
        <f t="shared" si="5"/>
        <v>25408.713541666668</v>
      </c>
      <c r="Q31" s="65">
        <f t="shared" si="6"/>
        <v>127043.56770833334</v>
      </c>
      <c r="R31" s="64">
        <f t="shared" si="7"/>
        <v>41104.775913742691</v>
      </c>
      <c r="S31" s="72"/>
      <c r="T31" s="72"/>
      <c r="U31" s="73"/>
      <c r="V31" s="73"/>
      <c r="W31" s="74"/>
      <c r="X31" s="10"/>
      <c r="Y31" s="10"/>
      <c r="Z31" s="66">
        <v>0.2</v>
      </c>
      <c r="AA31" s="71">
        <f>G31*Z31</f>
        <v>3539.4</v>
      </c>
      <c r="AB31" s="77"/>
      <c r="AC31" s="69"/>
      <c r="AD31" s="10"/>
      <c r="AE31" s="10"/>
      <c r="AF31" s="10"/>
      <c r="AG31" s="10"/>
      <c r="AH31" s="10"/>
      <c r="AI31" s="10"/>
      <c r="AJ31" s="66">
        <v>0.4</v>
      </c>
      <c r="AK31" s="48">
        <v>1</v>
      </c>
      <c r="AL31" s="79">
        <v>1</v>
      </c>
      <c r="AM31" s="81">
        <f>7079/18*AL31/19*1</f>
        <v>20.698830409356724</v>
      </c>
      <c r="AN31" s="48"/>
      <c r="AO31" s="81"/>
      <c r="AP31" s="66"/>
      <c r="AQ31" s="10"/>
      <c r="AR31" s="10"/>
      <c r="AS31" s="80">
        <v>0.3</v>
      </c>
      <c r="AT31" s="33">
        <v>11</v>
      </c>
      <c r="AU31" s="71">
        <f t="shared" si="1"/>
        <v>24840.320312500004</v>
      </c>
      <c r="AV31" s="80">
        <v>0.1</v>
      </c>
      <c r="AW31" s="71">
        <f t="shared" si="8"/>
        <v>12704.356770833336</v>
      </c>
      <c r="AX31" s="64">
        <f t="shared" si="9"/>
        <v>168148.34362207603</v>
      </c>
      <c r="AY31" s="71">
        <f t="shared" si="10"/>
        <v>127043.56770833334</v>
      </c>
      <c r="AZ31" s="64">
        <f t="shared" si="11"/>
        <v>2017780.1234649124</v>
      </c>
      <c r="BA31" s="5"/>
      <c r="BB31" s="5"/>
    </row>
    <row r="32" spans="1:54" ht="15.75" customHeight="1">
      <c r="A32" s="5">
        <v>26</v>
      </c>
      <c r="B32" s="18" t="s">
        <v>69</v>
      </c>
      <c r="C32" s="27" t="s">
        <v>118</v>
      </c>
      <c r="D32" s="37" t="s">
        <v>191</v>
      </c>
      <c r="E32" s="41" t="s">
        <v>205</v>
      </c>
      <c r="F32" s="33" t="s">
        <v>247</v>
      </c>
      <c r="G32" s="72">
        <v>17697</v>
      </c>
      <c r="H32" s="33">
        <v>19</v>
      </c>
      <c r="I32" s="51"/>
      <c r="J32" s="33"/>
      <c r="K32" s="56">
        <v>5.2</v>
      </c>
      <c r="L32" s="56"/>
      <c r="M32" s="65">
        <f t="shared" si="2"/>
        <v>97136.866666666669</v>
      </c>
      <c r="N32" s="65">
        <f t="shared" si="3"/>
        <v>0</v>
      </c>
      <c r="O32" s="65">
        <f t="shared" si="4"/>
        <v>121421.08333333334</v>
      </c>
      <c r="P32" s="65">
        <f t="shared" si="5"/>
        <v>30355.270833333336</v>
      </c>
      <c r="Q32" s="65">
        <f t="shared" si="6"/>
        <v>151776.35416666669</v>
      </c>
      <c r="R32" s="64">
        <f t="shared" si="7"/>
        <v>71814.544281045761</v>
      </c>
      <c r="S32" s="72"/>
      <c r="T32" s="72"/>
      <c r="U32" s="73"/>
      <c r="V32" s="73"/>
      <c r="W32" s="74"/>
      <c r="X32" s="10"/>
      <c r="Y32" s="10"/>
      <c r="Z32" s="66">
        <v>0.2</v>
      </c>
      <c r="AA32" s="71">
        <f>G32*Z32</f>
        <v>3539.4</v>
      </c>
      <c r="AB32" s="77">
        <v>0.4</v>
      </c>
      <c r="AC32" s="64">
        <f>G32*AB32/18*19</f>
        <v>7472.0666666666666</v>
      </c>
      <c r="AD32" s="10"/>
      <c r="AE32" s="10"/>
      <c r="AF32" s="10"/>
      <c r="AG32" s="10"/>
      <c r="AH32" s="10"/>
      <c r="AI32" s="10"/>
      <c r="AJ32" s="83">
        <v>0.4</v>
      </c>
      <c r="AK32" s="48">
        <v>4</v>
      </c>
      <c r="AL32" s="79">
        <v>1</v>
      </c>
      <c r="AM32" s="81">
        <f>7079/18*AK32/17*1</f>
        <v>92.535947712418306</v>
      </c>
      <c r="AN32" s="48"/>
      <c r="AO32" s="81"/>
      <c r="AP32" s="83"/>
      <c r="AQ32" s="10"/>
      <c r="AR32" s="10"/>
      <c r="AS32" s="80">
        <v>0.3</v>
      </c>
      <c r="AT32" s="33">
        <v>19</v>
      </c>
      <c r="AU32" s="71">
        <f t="shared" si="1"/>
        <v>45532.906250000007</v>
      </c>
      <c r="AV32" s="80">
        <v>0.1</v>
      </c>
      <c r="AW32" s="71">
        <f t="shared" si="8"/>
        <v>15177.63541666667</v>
      </c>
      <c r="AX32" s="64">
        <f t="shared" si="9"/>
        <v>223590.89844771245</v>
      </c>
      <c r="AY32" s="71">
        <f t="shared" si="10"/>
        <v>151776.35416666669</v>
      </c>
      <c r="AZ32" s="64">
        <f t="shared" si="11"/>
        <v>2683090.7813725495</v>
      </c>
      <c r="BA32" s="5"/>
      <c r="BB32" s="5"/>
    </row>
    <row r="33" spans="1:54" ht="15.75" customHeight="1">
      <c r="A33" s="5">
        <v>27</v>
      </c>
      <c r="B33" s="19" t="s">
        <v>70</v>
      </c>
      <c r="C33" s="27" t="s">
        <v>118</v>
      </c>
      <c r="D33" s="36" t="s">
        <v>191</v>
      </c>
      <c r="E33" s="41" t="s">
        <v>219</v>
      </c>
      <c r="F33" s="33" t="s">
        <v>247</v>
      </c>
      <c r="G33" s="72">
        <v>17697</v>
      </c>
      <c r="H33" s="49">
        <v>20</v>
      </c>
      <c r="I33" s="51"/>
      <c r="J33" s="49"/>
      <c r="K33" s="57">
        <v>5.2</v>
      </c>
      <c r="L33" s="57"/>
      <c r="M33" s="65">
        <f t="shared" si="2"/>
        <v>102249.33333333334</v>
      </c>
      <c r="N33" s="65">
        <f t="shared" si="3"/>
        <v>0</v>
      </c>
      <c r="O33" s="65">
        <f t="shared" si="4"/>
        <v>127811.66666666669</v>
      </c>
      <c r="P33" s="65">
        <f t="shared" si="5"/>
        <v>31952.916666666672</v>
      </c>
      <c r="Q33" s="65">
        <f t="shared" si="6"/>
        <v>159764.58333333337</v>
      </c>
      <c r="R33" s="64">
        <f t="shared" si="7"/>
        <v>71902.25925925927</v>
      </c>
      <c r="S33" s="72"/>
      <c r="T33" s="72"/>
      <c r="U33" s="73"/>
      <c r="V33" s="73"/>
      <c r="W33" s="74"/>
      <c r="X33" s="10"/>
      <c r="Y33" s="10"/>
      <c r="Z33" s="66"/>
      <c r="AA33" s="10"/>
      <c r="AB33" s="77">
        <v>0.4</v>
      </c>
      <c r="AC33" s="64">
        <f>G33*AB33/18*20</f>
        <v>7865.333333333333</v>
      </c>
      <c r="AD33" s="10"/>
      <c r="AE33" s="10"/>
      <c r="AF33" s="10"/>
      <c r="AG33" s="10"/>
      <c r="AH33" s="10"/>
      <c r="AI33" s="10"/>
      <c r="AJ33" s="83">
        <v>0.4</v>
      </c>
      <c r="AK33" s="48">
        <v>6</v>
      </c>
      <c r="AL33" s="79">
        <v>1</v>
      </c>
      <c r="AM33" s="81">
        <f>7079/18*AK33/18*1</f>
        <v>131.09259259259258</v>
      </c>
      <c r="AN33" s="48"/>
      <c r="AO33" s="81"/>
      <c r="AP33" s="83"/>
      <c r="AQ33" s="10"/>
      <c r="AR33" s="10"/>
      <c r="AS33" s="80">
        <v>0.3</v>
      </c>
      <c r="AT33" s="49">
        <v>20</v>
      </c>
      <c r="AU33" s="71">
        <f t="shared" si="1"/>
        <v>47929.375000000007</v>
      </c>
      <c r="AV33" s="80">
        <v>0.1</v>
      </c>
      <c r="AW33" s="71">
        <f t="shared" si="8"/>
        <v>15976.458333333338</v>
      </c>
      <c r="AX33" s="64">
        <f t="shared" si="9"/>
        <v>231666.84259259264</v>
      </c>
      <c r="AY33" s="71">
        <f t="shared" si="10"/>
        <v>159764.58333333337</v>
      </c>
      <c r="AZ33" s="64">
        <f t="shared" si="11"/>
        <v>2780002.1111111119</v>
      </c>
      <c r="BA33" s="5"/>
      <c r="BB33" s="5"/>
    </row>
    <row r="34" spans="1:54" ht="15.75" customHeight="1">
      <c r="A34" s="5">
        <v>28</v>
      </c>
      <c r="B34" s="18" t="s">
        <v>71</v>
      </c>
      <c r="C34" s="27" t="s">
        <v>118</v>
      </c>
      <c r="D34" s="36" t="s">
        <v>191</v>
      </c>
      <c r="E34" s="43" t="s">
        <v>220</v>
      </c>
      <c r="F34" s="33" t="s">
        <v>247</v>
      </c>
      <c r="G34" s="72">
        <v>17697</v>
      </c>
      <c r="H34" s="33">
        <v>21</v>
      </c>
      <c r="I34" s="51"/>
      <c r="J34" s="33"/>
      <c r="K34" s="56">
        <v>5.12</v>
      </c>
      <c r="L34" s="56"/>
      <c r="M34" s="65">
        <f t="shared" si="2"/>
        <v>105710.08</v>
      </c>
      <c r="N34" s="65">
        <f t="shared" si="3"/>
        <v>0</v>
      </c>
      <c r="O34" s="65">
        <f t="shared" si="4"/>
        <v>132137.60000000001</v>
      </c>
      <c r="P34" s="65">
        <f t="shared" si="5"/>
        <v>33034.400000000001</v>
      </c>
      <c r="Q34" s="65">
        <f t="shared" si="6"/>
        <v>165172</v>
      </c>
      <c r="R34" s="64">
        <f t="shared" si="7"/>
        <v>83765.8</v>
      </c>
      <c r="S34" s="72"/>
      <c r="T34" s="72"/>
      <c r="U34" s="73"/>
      <c r="V34" s="73">
        <v>0.6</v>
      </c>
      <c r="W34" s="74">
        <f>G34*V34</f>
        <v>10618.199999999999</v>
      </c>
      <c r="X34" s="10"/>
      <c r="Y34" s="10"/>
      <c r="Z34" s="66"/>
      <c r="AA34" s="10"/>
      <c r="AB34" s="77">
        <v>0.4</v>
      </c>
      <c r="AC34" s="64">
        <f>G34*AB34/18*18</f>
        <v>7078.7999999999993</v>
      </c>
      <c r="AD34" s="10"/>
      <c r="AE34" s="10"/>
      <c r="AF34" s="10"/>
      <c r="AG34" s="10"/>
      <c r="AH34" s="10"/>
      <c r="AI34" s="10"/>
      <c r="AJ34" s="83"/>
      <c r="AK34" s="48"/>
      <c r="AL34" s="79"/>
      <c r="AM34" s="48"/>
      <c r="AN34" s="48"/>
      <c r="AO34" s="48"/>
      <c r="AP34" s="83"/>
      <c r="AQ34" s="10"/>
      <c r="AR34" s="10"/>
      <c r="AS34" s="80">
        <v>0.3</v>
      </c>
      <c r="AT34" s="33">
        <v>21</v>
      </c>
      <c r="AU34" s="71">
        <f t="shared" si="1"/>
        <v>49551.6</v>
      </c>
      <c r="AV34" s="80">
        <v>0.1</v>
      </c>
      <c r="AW34" s="71">
        <f t="shared" si="8"/>
        <v>16517.2</v>
      </c>
      <c r="AX34" s="64">
        <f t="shared" si="9"/>
        <v>248937.8</v>
      </c>
      <c r="AY34" s="71">
        <f t="shared" si="10"/>
        <v>165172</v>
      </c>
      <c r="AZ34" s="64">
        <f t="shared" si="11"/>
        <v>2987253.5999999996</v>
      </c>
      <c r="BA34" s="5"/>
      <c r="BB34" s="5"/>
    </row>
    <row r="35" spans="1:54" ht="15.75" customHeight="1">
      <c r="A35" s="5">
        <v>29</v>
      </c>
      <c r="B35" s="20" t="s">
        <v>72</v>
      </c>
      <c r="C35" s="29" t="s">
        <v>118</v>
      </c>
      <c r="D35" s="38" t="s">
        <v>191</v>
      </c>
      <c r="E35" s="44" t="s">
        <v>221</v>
      </c>
      <c r="F35" s="46" t="s">
        <v>250</v>
      </c>
      <c r="G35" s="85">
        <v>17697</v>
      </c>
      <c r="H35" s="46">
        <v>20</v>
      </c>
      <c r="I35" s="51"/>
      <c r="J35" s="46"/>
      <c r="K35" s="59">
        <v>4.1900000000000004</v>
      </c>
      <c r="L35" s="59"/>
      <c r="M35" s="65">
        <f t="shared" si="2"/>
        <v>82389.366666666683</v>
      </c>
      <c r="N35" s="65">
        <f t="shared" si="3"/>
        <v>0</v>
      </c>
      <c r="O35" s="65">
        <f t="shared" si="4"/>
        <v>102986.70833333336</v>
      </c>
      <c r="P35" s="65">
        <f t="shared" si="5"/>
        <v>25746.677083333339</v>
      </c>
      <c r="Q35" s="65">
        <f t="shared" si="6"/>
        <v>128733.3854166667</v>
      </c>
      <c r="R35" s="64">
        <f t="shared" si="7"/>
        <v>70066.268813131319</v>
      </c>
      <c r="S35" s="72"/>
      <c r="T35" s="72"/>
      <c r="U35" s="73"/>
      <c r="V35" s="73">
        <v>0.6</v>
      </c>
      <c r="W35" s="74">
        <f>G35*V35</f>
        <v>10618.199999999999</v>
      </c>
      <c r="X35" s="10"/>
      <c r="Y35" s="10"/>
      <c r="Z35" s="66"/>
      <c r="AA35" s="10"/>
      <c r="AB35" s="77">
        <v>0.4</v>
      </c>
      <c r="AC35" s="64">
        <f>G35*AB35/18*20</f>
        <v>7865.333333333333</v>
      </c>
      <c r="AD35" s="10"/>
      <c r="AE35" s="10"/>
      <c r="AF35" s="10"/>
      <c r="AG35" s="10"/>
      <c r="AH35" s="10"/>
      <c r="AI35" s="10"/>
      <c r="AJ35" s="83">
        <v>0.4</v>
      </c>
      <c r="AK35" s="48">
        <v>5</v>
      </c>
      <c r="AL35" s="79">
        <v>1</v>
      </c>
      <c r="AM35" s="81">
        <f>7079/18*AK35/22*1</f>
        <v>89.381313131313135</v>
      </c>
      <c r="AN35" s="48"/>
      <c r="AO35" s="81"/>
      <c r="AP35" s="83"/>
      <c r="AQ35" s="10"/>
      <c r="AR35" s="10"/>
      <c r="AS35" s="80">
        <v>0.3</v>
      </c>
      <c r="AT35" s="46">
        <v>20</v>
      </c>
      <c r="AU35" s="71">
        <f t="shared" si="1"/>
        <v>38620.015625000007</v>
      </c>
      <c r="AV35" s="80">
        <v>0.1</v>
      </c>
      <c r="AW35" s="71">
        <f t="shared" si="8"/>
        <v>12873.338541666672</v>
      </c>
      <c r="AX35" s="64">
        <f t="shared" si="9"/>
        <v>198799.654229798</v>
      </c>
      <c r="AY35" s="71">
        <f t="shared" si="10"/>
        <v>128733.3854166667</v>
      </c>
      <c r="AZ35" s="64">
        <f t="shared" si="11"/>
        <v>2385595.8507575761</v>
      </c>
      <c r="BA35" s="5"/>
      <c r="BB35" s="5"/>
    </row>
    <row r="36" spans="1:54" ht="15.75" customHeight="1">
      <c r="A36" s="5">
        <v>30</v>
      </c>
      <c r="B36" s="18" t="s">
        <v>73</v>
      </c>
      <c r="C36" s="27" t="s">
        <v>119</v>
      </c>
      <c r="D36" s="36" t="s">
        <v>191</v>
      </c>
      <c r="E36" s="151" t="s">
        <v>196</v>
      </c>
      <c r="F36" s="149" t="s">
        <v>249</v>
      </c>
      <c r="G36" s="76">
        <v>17697</v>
      </c>
      <c r="H36" s="49">
        <v>19</v>
      </c>
      <c r="I36" s="51"/>
      <c r="J36" s="52"/>
      <c r="K36" s="56">
        <v>5.16</v>
      </c>
      <c r="L36" s="56"/>
      <c r="M36" s="65">
        <f t="shared" si="2"/>
        <v>96389.66</v>
      </c>
      <c r="N36" s="65">
        <f t="shared" si="3"/>
        <v>0</v>
      </c>
      <c r="O36" s="65">
        <f t="shared" si="4"/>
        <v>120487.07500000001</v>
      </c>
      <c r="P36" s="65">
        <f t="shared" si="5"/>
        <v>30121.768750000003</v>
      </c>
      <c r="Q36" s="65">
        <f t="shared" si="6"/>
        <v>150608.84375</v>
      </c>
      <c r="R36" s="64">
        <f t="shared" si="7"/>
        <v>98047.331330409361</v>
      </c>
      <c r="S36" s="72"/>
      <c r="T36" s="72"/>
      <c r="U36" s="73"/>
      <c r="V36" s="73"/>
      <c r="W36" s="74"/>
      <c r="X36" s="10"/>
      <c r="Y36" s="10"/>
      <c r="Z36" s="66">
        <v>0.2</v>
      </c>
      <c r="AA36" s="71">
        <f>G36*Z36</f>
        <v>3539.4</v>
      </c>
      <c r="AB36" s="77"/>
      <c r="AC36" s="69"/>
      <c r="AD36" s="10"/>
      <c r="AE36" s="10"/>
      <c r="AF36" s="10"/>
      <c r="AG36" s="10"/>
      <c r="AH36" s="10"/>
      <c r="AI36" s="10"/>
      <c r="AJ36" s="66">
        <v>0.4</v>
      </c>
      <c r="AK36" s="48">
        <v>1</v>
      </c>
      <c r="AL36" s="79">
        <v>1</v>
      </c>
      <c r="AM36" s="81">
        <f>7079/18*AL36/19*1</f>
        <v>20.698830409356724</v>
      </c>
      <c r="AN36" s="48">
        <v>18</v>
      </c>
      <c r="AO36" s="81">
        <f>(G36*K36*1.25)*AP36/18*AN36</f>
        <v>34243.695</v>
      </c>
      <c r="AP36" s="66">
        <v>0.3</v>
      </c>
      <c r="AQ36" s="10"/>
      <c r="AR36" s="10"/>
      <c r="AS36" s="80">
        <v>0.3</v>
      </c>
      <c r="AT36" s="49">
        <v>19</v>
      </c>
      <c r="AU36" s="71">
        <f t="shared" si="1"/>
        <v>45182.653125000004</v>
      </c>
      <c r="AV36" s="80">
        <v>0.1</v>
      </c>
      <c r="AW36" s="71">
        <f t="shared" si="8"/>
        <v>15060.884375000001</v>
      </c>
      <c r="AX36" s="64">
        <f t="shared" si="9"/>
        <v>248656.17508040936</v>
      </c>
      <c r="AY36" s="71">
        <f t="shared" si="10"/>
        <v>150608.84375</v>
      </c>
      <c r="AZ36" s="64">
        <f t="shared" si="11"/>
        <v>2983874.1009649122</v>
      </c>
      <c r="BA36" s="5"/>
      <c r="BB36" s="5"/>
    </row>
    <row r="37" spans="1:54" ht="15.75" customHeight="1">
      <c r="A37" s="5">
        <v>31</v>
      </c>
      <c r="B37" s="21" t="s">
        <v>74</v>
      </c>
      <c r="C37" s="30" t="s">
        <v>140</v>
      </c>
      <c r="D37" s="37" t="s">
        <v>191</v>
      </c>
      <c r="E37" s="45" t="s">
        <v>222</v>
      </c>
      <c r="F37" s="47" t="s">
        <v>253</v>
      </c>
      <c r="G37" s="72">
        <v>17697</v>
      </c>
      <c r="H37" s="47">
        <v>10</v>
      </c>
      <c r="I37" s="51"/>
      <c r="J37" s="53">
        <v>0.5</v>
      </c>
      <c r="K37" s="60">
        <v>4.38</v>
      </c>
      <c r="L37" s="60">
        <v>3.94</v>
      </c>
      <c r="M37" s="65">
        <f t="shared" si="2"/>
        <v>43062.700000000004</v>
      </c>
      <c r="N37" s="65">
        <f t="shared" si="3"/>
        <v>34863.089999999997</v>
      </c>
      <c r="O37" s="65">
        <f>(M37*1.25+N37)</f>
        <v>88691.464999999997</v>
      </c>
      <c r="P37" s="65">
        <f t="shared" si="5"/>
        <v>22172.866249999999</v>
      </c>
      <c r="Q37" s="65">
        <f t="shared" si="6"/>
        <v>110864.33124999999</v>
      </c>
      <c r="R37" s="64">
        <f t="shared" si="7"/>
        <v>83219.026275252516</v>
      </c>
      <c r="S37" s="72"/>
      <c r="T37" s="72"/>
      <c r="U37" s="73"/>
      <c r="V37" s="73">
        <v>0.6</v>
      </c>
      <c r="W37" s="74">
        <f>G37*V37</f>
        <v>10618.199999999999</v>
      </c>
      <c r="X37" s="68">
        <v>2</v>
      </c>
      <c r="Y37" s="69">
        <f>G37*X37</f>
        <v>35394</v>
      </c>
      <c r="Z37" s="66">
        <v>0.2</v>
      </c>
      <c r="AA37" s="71">
        <f>G37*Z37</f>
        <v>3539.4</v>
      </c>
      <c r="AB37" s="77">
        <v>0.4</v>
      </c>
      <c r="AC37" s="64">
        <f>G37*AB37/18*6</f>
        <v>2359.6</v>
      </c>
      <c r="AD37" s="10"/>
      <c r="AE37" s="10"/>
      <c r="AF37" s="10"/>
      <c r="AG37" s="10"/>
      <c r="AH37" s="10"/>
      <c r="AI37" s="10"/>
      <c r="AJ37" s="83">
        <v>0.4</v>
      </c>
      <c r="AK37" s="48">
        <v>2</v>
      </c>
      <c r="AL37" s="79">
        <v>1</v>
      </c>
      <c r="AM37" s="81">
        <f>7079/18*AK37/22*1</f>
        <v>35.752525252525253</v>
      </c>
      <c r="AN37" s="48"/>
      <c r="AO37" s="81"/>
      <c r="AP37" s="83"/>
      <c r="AQ37" s="10"/>
      <c r="AR37" s="10"/>
      <c r="AS37" s="80">
        <v>0.3</v>
      </c>
      <c r="AT37" s="47">
        <v>10</v>
      </c>
      <c r="AU37" s="71">
        <f t="shared" si="1"/>
        <v>20185.640625</v>
      </c>
      <c r="AV37" s="80">
        <v>0.1</v>
      </c>
      <c r="AW37" s="71">
        <f t="shared" si="8"/>
        <v>11086.433125</v>
      </c>
      <c r="AX37" s="64">
        <f t="shared" si="9"/>
        <v>194083.3575252525</v>
      </c>
      <c r="AY37" s="71">
        <f t="shared" si="10"/>
        <v>110864.33124999999</v>
      </c>
      <c r="AZ37" s="64">
        <f t="shared" si="11"/>
        <v>2329000.2903030301</v>
      </c>
      <c r="BA37" s="5"/>
      <c r="BB37" s="5"/>
    </row>
    <row r="38" spans="1:54" ht="15.75" customHeight="1">
      <c r="A38" s="5">
        <v>32</v>
      </c>
      <c r="B38" s="18" t="s">
        <v>75</v>
      </c>
      <c r="C38" s="27" t="s">
        <v>120</v>
      </c>
      <c r="D38" s="37" t="s">
        <v>191</v>
      </c>
      <c r="E38" s="45" t="s">
        <v>223</v>
      </c>
      <c r="F38" s="33" t="s">
        <v>247</v>
      </c>
      <c r="G38" s="72">
        <v>17697</v>
      </c>
      <c r="H38" s="33">
        <v>21</v>
      </c>
      <c r="I38" s="51"/>
      <c r="J38" s="49"/>
      <c r="K38" s="56">
        <v>5.12</v>
      </c>
      <c r="L38" s="56"/>
      <c r="M38" s="65">
        <f t="shared" si="2"/>
        <v>105710.08</v>
      </c>
      <c r="N38" s="65">
        <f t="shared" si="3"/>
        <v>0</v>
      </c>
      <c r="O38" s="65">
        <f t="shared" si="4"/>
        <v>132137.60000000001</v>
      </c>
      <c r="P38" s="65">
        <f t="shared" si="5"/>
        <v>33034.400000000001</v>
      </c>
      <c r="Q38" s="65">
        <f t="shared" si="6"/>
        <v>165172</v>
      </c>
      <c r="R38" s="64">
        <f t="shared" si="7"/>
        <v>75157.630864197534</v>
      </c>
      <c r="S38" s="72"/>
      <c r="T38" s="72"/>
      <c r="U38" s="73"/>
      <c r="V38" s="73"/>
      <c r="W38" s="74"/>
      <c r="X38" s="10"/>
      <c r="Y38" s="10"/>
      <c r="Z38" s="66">
        <v>0.2</v>
      </c>
      <c r="AA38" s="71">
        <f>G38*Z38</f>
        <v>3539.4</v>
      </c>
      <c r="AB38" s="77">
        <v>0.4</v>
      </c>
      <c r="AC38" s="64">
        <f>G38*AB38/18*14</f>
        <v>5505.7333333333336</v>
      </c>
      <c r="AD38" s="10"/>
      <c r="AE38" s="10"/>
      <c r="AF38" s="10"/>
      <c r="AG38" s="10"/>
      <c r="AH38" s="10"/>
      <c r="AI38" s="10"/>
      <c r="AJ38" s="66">
        <v>0.4</v>
      </c>
      <c r="AK38" s="48">
        <v>2</v>
      </c>
      <c r="AL38" s="79">
        <v>1</v>
      </c>
      <c r="AM38" s="81">
        <f>7079/18*AK38/18*1</f>
        <v>43.697530864197532</v>
      </c>
      <c r="AN38" s="48"/>
      <c r="AO38" s="81"/>
      <c r="AP38" s="66"/>
      <c r="AQ38" s="10"/>
      <c r="AR38" s="10"/>
      <c r="AS38" s="80">
        <v>0.3</v>
      </c>
      <c r="AT38" s="33">
        <v>21</v>
      </c>
      <c r="AU38" s="71">
        <f t="shared" si="1"/>
        <v>49551.6</v>
      </c>
      <c r="AV38" s="80">
        <v>0.1</v>
      </c>
      <c r="AW38" s="71">
        <f t="shared" si="8"/>
        <v>16517.2</v>
      </c>
      <c r="AX38" s="64">
        <f t="shared" si="9"/>
        <v>240329.63086419753</v>
      </c>
      <c r="AY38" s="71">
        <f t="shared" si="10"/>
        <v>165172</v>
      </c>
      <c r="AZ38" s="64">
        <f t="shared" si="11"/>
        <v>2883955.5703703705</v>
      </c>
      <c r="BA38" s="5"/>
      <c r="BB38" s="5"/>
    </row>
    <row r="39" spans="1:54" ht="15.75" customHeight="1">
      <c r="A39" s="5">
        <v>33</v>
      </c>
      <c r="B39" s="19" t="s">
        <v>76</v>
      </c>
      <c r="C39" s="22" t="s">
        <v>141</v>
      </c>
      <c r="D39" s="37" t="s">
        <v>191</v>
      </c>
      <c r="E39" s="41" t="s">
        <v>224</v>
      </c>
      <c r="F39" s="33" t="s">
        <v>251</v>
      </c>
      <c r="G39" s="72">
        <v>17697</v>
      </c>
      <c r="H39" s="49">
        <v>16</v>
      </c>
      <c r="I39" s="51"/>
      <c r="J39" s="49">
        <v>0.5</v>
      </c>
      <c r="K39" s="57">
        <v>4.66</v>
      </c>
      <c r="L39" s="57">
        <v>3.78</v>
      </c>
      <c r="M39" s="65">
        <f t="shared" si="2"/>
        <v>73304.906666666677</v>
      </c>
      <c r="N39" s="65">
        <f t="shared" si="3"/>
        <v>33447.33</v>
      </c>
      <c r="O39" s="65">
        <f>(M39*1.25+N39)</f>
        <v>125078.46333333335</v>
      </c>
      <c r="P39" s="65">
        <f t="shared" si="5"/>
        <v>31269.615833333337</v>
      </c>
      <c r="Q39" s="65">
        <f t="shared" si="6"/>
        <v>156348.07916666669</v>
      </c>
      <c r="R39" s="64">
        <f t="shared" si="7"/>
        <v>58727.799639450066</v>
      </c>
      <c r="S39" s="72"/>
      <c r="T39" s="72"/>
      <c r="U39" s="73"/>
      <c r="V39" s="73"/>
      <c r="W39" s="74"/>
      <c r="X39" s="10"/>
      <c r="Y39" s="10"/>
      <c r="Z39" s="66">
        <v>0.2</v>
      </c>
      <c r="AA39" s="71">
        <f>G39*Z39</f>
        <v>3539.4</v>
      </c>
      <c r="AB39" s="77">
        <v>0.4</v>
      </c>
      <c r="AC39" s="64">
        <f>G39*AB39/18*13</f>
        <v>5112.4666666666662</v>
      </c>
      <c r="AD39" s="10"/>
      <c r="AE39" s="10"/>
      <c r="AF39" s="10"/>
      <c r="AG39" s="10"/>
      <c r="AH39" s="10"/>
      <c r="AI39" s="10"/>
      <c r="AJ39" s="66">
        <v>0.4</v>
      </c>
      <c r="AK39" s="48">
        <v>4</v>
      </c>
      <c r="AL39" s="79">
        <v>1</v>
      </c>
      <c r="AM39" s="81">
        <f>(7079/18*2/22*1)+(7079/18*2/18*1)</f>
        <v>79.450056116722777</v>
      </c>
      <c r="AN39" s="48"/>
      <c r="AO39" s="81"/>
      <c r="AP39" s="66"/>
      <c r="AQ39" s="10"/>
      <c r="AR39" s="10"/>
      <c r="AS39" s="80">
        <v>0.3</v>
      </c>
      <c r="AT39" s="49">
        <v>16</v>
      </c>
      <c r="AU39" s="71">
        <f t="shared" si="1"/>
        <v>34361.675000000003</v>
      </c>
      <c r="AV39" s="80">
        <v>0.1</v>
      </c>
      <c r="AW39" s="71">
        <f t="shared" si="8"/>
        <v>15634.80791666667</v>
      </c>
      <c r="AX39" s="64">
        <f t="shared" si="9"/>
        <v>215075.87880611676</v>
      </c>
      <c r="AY39" s="71">
        <f t="shared" si="10"/>
        <v>156348.07916666669</v>
      </c>
      <c r="AZ39" s="64">
        <f t="shared" si="11"/>
        <v>2580910.5456734011</v>
      </c>
      <c r="BA39" s="5"/>
      <c r="BB39" s="5"/>
    </row>
    <row r="40" spans="1:54" ht="15.75" customHeight="1">
      <c r="A40" s="5">
        <v>34</v>
      </c>
      <c r="B40" s="19" t="s">
        <v>77</v>
      </c>
      <c r="C40" s="22" t="s">
        <v>262</v>
      </c>
      <c r="D40" s="37" t="s">
        <v>191</v>
      </c>
      <c r="E40" s="43" t="s">
        <v>225</v>
      </c>
      <c r="F40" s="33" t="s">
        <v>246</v>
      </c>
      <c r="G40" s="72">
        <v>17697</v>
      </c>
      <c r="H40" s="49"/>
      <c r="I40" s="51"/>
      <c r="J40" s="49">
        <v>0.5</v>
      </c>
      <c r="K40" s="57"/>
      <c r="L40" s="57">
        <v>3.85</v>
      </c>
      <c r="M40" s="65">
        <f t="shared" si="2"/>
        <v>0</v>
      </c>
      <c r="N40" s="65">
        <f t="shared" si="3"/>
        <v>34066.724999999999</v>
      </c>
      <c r="O40" s="65">
        <f>(M40+N40)</f>
        <v>34066.724999999999</v>
      </c>
      <c r="P40" s="65">
        <f t="shared" si="5"/>
        <v>8516.6812499999996</v>
      </c>
      <c r="Q40" s="65">
        <f t="shared" si="6"/>
        <v>42583.40625</v>
      </c>
      <c r="R40" s="64">
        <f t="shared" si="7"/>
        <v>4258.3406249999998</v>
      </c>
      <c r="S40" s="72"/>
      <c r="T40" s="72"/>
      <c r="U40" s="73"/>
      <c r="V40" s="73"/>
      <c r="W40" s="74"/>
      <c r="X40" s="10"/>
      <c r="Y40" s="10"/>
      <c r="Z40" s="70"/>
      <c r="AA40" s="10"/>
      <c r="AB40" s="77"/>
      <c r="AC40" s="69"/>
      <c r="AD40" s="10"/>
      <c r="AE40" s="10"/>
      <c r="AF40" s="10"/>
      <c r="AG40" s="10"/>
      <c r="AH40" s="10"/>
      <c r="AI40" s="10"/>
      <c r="AJ40" s="83"/>
      <c r="AK40" s="48"/>
      <c r="AL40" s="79"/>
      <c r="AM40" s="48"/>
      <c r="AN40" s="48"/>
      <c r="AO40" s="48"/>
      <c r="AP40" s="83"/>
      <c r="AQ40" s="10"/>
      <c r="AR40" s="10"/>
      <c r="AS40" s="80">
        <v>0.3</v>
      </c>
      <c r="AT40" s="49"/>
      <c r="AU40" s="71">
        <f t="shared" si="1"/>
        <v>0</v>
      </c>
      <c r="AV40" s="80">
        <v>0.1</v>
      </c>
      <c r="AW40" s="71">
        <f t="shared" si="8"/>
        <v>4258.3406249999998</v>
      </c>
      <c r="AX40" s="64">
        <f t="shared" si="9"/>
        <v>46841.746874999997</v>
      </c>
      <c r="AY40" s="71">
        <f t="shared" si="10"/>
        <v>42583.40625</v>
      </c>
      <c r="AZ40" s="64">
        <f t="shared" si="11"/>
        <v>562100.96249999991</v>
      </c>
      <c r="BA40" s="5"/>
      <c r="BB40" s="5"/>
    </row>
    <row r="41" spans="1:54" ht="15.75" customHeight="1">
      <c r="A41" s="5">
        <v>35</v>
      </c>
      <c r="B41" s="19" t="s">
        <v>78</v>
      </c>
      <c r="C41" s="22" t="s">
        <v>121</v>
      </c>
      <c r="D41" s="37" t="s">
        <v>191</v>
      </c>
      <c r="E41" s="43" t="s">
        <v>226</v>
      </c>
      <c r="F41" s="33" t="s">
        <v>247</v>
      </c>
      <c r="G41" s="72">
        <v>17697</v>
      </c>
      <c r="H41" s="49">
        <v>20</v>
      </c>
      <c r="I41" s="51"/>
      <c r="J41" s="49"/>
      <c r="K41" s="57">
        <v>5.03</v>
      </c>
      <c r="L41" s="57"/>
      <c r="M41" s="65">
        <f t="shared" si="2"/>
        <v>98906.56666666668</v>
      </c>
      <c r="N41" s="65">
        <f t="shared" si="3"/>
        <v>0</v>
      </c>
      <c r="O41" s="65">
        <f t="shared" si="4"/>
        <v>123633.20833333334</v>
      </c>
      <c r="P41" s="65">
        <f t="shared" si="5"/>
        <v>30908.302083333336</v>
      </c>
      <c r="Q41" s="65">
        <f t="shared" si="6"/>
        <v>154541.51041666669</v>
      </c>
      <c r="R41" s="64">
        <f t="shared" si="7"/>
        <v>76143.619727503799</v>
      </c>
      <c r="S41" s="72"/>
      <c r="T41" s="72"/>
      <c r="U41" s="73"/>
      <c r="V41" s="73">
        <v>0.6</v>
      </c>
      <c r="W41" s="74">
        <f>G41*V41</f>
        <v>10618.199999999999</v>
      </c>
      <c r="X41" s="10"/>
      <c r="Y41" s="10"/>
      <c r="Z41" s="66">
        <v>0.2</v>
      </c>
      <c r="AA41" s="71">
        <f>G41*Z41</f>
        <v>3539.4</v>
      </c>
      <c r="AB41" s="77"/>
      <c r="AC41" s="69"/>
      <c r="AD41" s="10"/>
      <c r="AE41" s="10"/>
      <c r="AF41" s="10"/>
      <c r="AG41" s="10"/>
      <c r="AH41" s="10"/>
      <c r="AI41" s="10"/>
      <c r="AJ41" s="66">
        <v>0.4</v>
      </c>
      <c r="AK41" s="48">
        <v>8</v>
      </c>
      <c r="AL41" s="79">
        <v>1</v>
      </c>
      <c r="AM41" s="81">
        <f>(7079/18*2/22*1)+(7079/18*4/18*1+7079/18*2/17*1)</f>
        <v>169.41556083712948</v>
      </c>
      <c r="AN41" s="48"/>
      <c r="AO41" s="81"/>
      <c r="AP41" s="66"/>
      <c r="AQ41" s="10"/>
      <c r="AR41" s="10"/>
      <c r="AS41" s="80">
        <v>0.3</v>
      </c>
      <c r="AT41" s="49">
        <v>20</v>
      </c>
      <c r="AU41" s="71">
        <f t="shared" si="1"/>
        <v>46362.453125</v>
      </c>
      <c r="AV41" s="80">
        <v>0.1</v>
      </c>
      <c r="AW41" s="71">
        <f t="shared" si="8"/>
        <v>15454.15104166667</v>
      </c>
      <c r="AX41" s="64">
        <f t="shared" si="9"/>
        <v>230685.13014417049</v>
      </c>
      <c r="AY41" s="71">
        <f t="shared" si="10"/>
        <v>154541.51041666669</v>
      </c>
      <c r="AZ41" s="64">
        <f t="shared" si="11"/>
        <v>2768221.5617300458</v>
      </c>
      <c r="BA41" s="5"/>
      <c r="BB41" s="5"/>
    </row>
    <row r="42" spans="1:54" ht="15.75" customHeight="1">
      <c r="A42" s="5">
        <v>36</v>
      </c>
      <c r="B42" s="19" t="s">
        <v>79</v>
      </c>
      <c r="C42" s="22" t="s">
        <v>122</v>
      </c>
      <c r="D42" s="37" t="s">
        <v>191</v>
      </c>
      <c r="E42" s="43" t="s">
        <v>217</v>
      </c>
      <c r="F42" s="33" t="s">
        <v>248</v>
      </c>
      <c r="G42" s="72">
        <v>17697</v>
      </c>
      <c r="H42" s="49">
        <v>20</v>
      </c>
      <c r="I42" s="51"/>
      <c r="J42" s="49"/>
      <c r="K42" s="57">
        <v>5.41</v>
      </c>
      <c r="L42" s="57"/>
      <c r="M42" s="65">
        <f t="shared" si="2"/>
        <v>106378.63333333335</v>
      </c>
      <c r="N42" s="65">
        <f t="shared" si="3"/>
        <v>0</v>
      </c>
      <c r="O42" s="65">
        <f t="shared" si="4"/>
        <v>132973.29166666669</v>
      </c>
      <c r="P42" s="65">
        <f t="shared" si="5"/>
        <v>33243.322916666672</v>
      </c>
      <c r="Q42" s="65">
        <f t="shared" si="6"/>
        <v>166216.61458333337</v>
      </c>
      <c r="R42" s="64">
        <f t="shared" si="7"/>
        <v>70026.045833333337</v>
      </c>
      <c r="S42" s="72"/>
      <c r="T42" s="72"/>
      <c r="U42" s="73"/>
      <c r="V42" s="74"/>
      <c r="W42" s="74"/>
      <c r="X42" s="10"/>
      <c r="Y42" s="10"/>
      <c r="Z42" s="66">
        <v>0.2</v>
      </c>
      <c r="AA42" s="71">
        <f>G42*Z42</f>
        <v>3539.4</v>
      </c>
      <c r="AB42" s="77"/>
      <c r="AC42" s="69"/>
      <c r="AD42" s="10"/>
      <c r="AE42" s="10"/>
      <c r="AF42" s="10"/>
      <c r="AG42" s="10"/>
      <c r="AH42" s="10"/>
      <c r="AI42" s="10"/>
      <c r="AJ42" s="83"/>
      <c r="AK42" s="48"/>
      <c r="AL42" s="79"/>
      <c r="AM42" s="48"/>
      <c r="AN42" s="48"/>
      <c r="AO42" s="48"/>
      <c r="AP42" s="83"/>
      <c r="AQ42" s="10"/>
      <c r="AR42" s="10"/>
      <c r="AS42" s="80">
        <v>0.3</v>
      </c>
      <c r="AT42" s="49">
        <v>20</v>
      </c>
      <c r="AU42" s="71">
        <f t="shared" si="1"/>
        <v>49864.984375</v>
      </c>
      <c r="AV42" s="80">
        <v>0.1</v>
      </c>
      <c r="AW42" s="71">
        <f t="shared" si="8"/>
        <v>16621.661458333339</v>
      </c>
      <c r="AX42" s="64">
        <f t="shared" si="9"/>
        <v>236242.66041666671</v>
      </c>
      <c r="AY42" s="71">
        <f t="shared" si="10"/>
        <v>166216.61458333337</v>
      </c>
      <c r="AZ42" s="64">
        <f t="shared" si="11"/>
        <v>2834911.9250000007</v>
      </c>
      <c r="BA42" s="5"/>
      <c r="BB42" s="5"/>
    </row>
    <row r="43" spans="1:54" ht="15.75" customHeight="1">
      <c r="A43" s="5">
        <v>37</v>
      </c>
      <c r="B43" s="19" t="s">
        <v>80</v>
      </c>
      <c r="C43" s="22" t="s">
        <v>123</v>
      </c>
      <c r="D43" s="37" t="s">
        <v>191</v>
      </c>
      <c r="E43" s="43" t="s">
        <v>209</v>
      </c>
      <c r="F43" s="33" t="s">
        <v>254</v>
      </c>
      <c r="G43" s="72">
        <v>17697</v>
      </c>
      <c r="H43" s="49">
        <v>19</v>
      </c>
      <c r="I43" s="51"/>
      <c r="J43" s="49"/>
      <c r="K43" s="57">
        <v>4.99</v>
      </c>
      <c r="L43" s="57">
        <v>4.59</v>
      </c>
      <c r="M43" s="65">
        <f>G43*K43/18*11</f>
        <v>53966.018333333341</v>
      </c>
      <c r="N43" s="65">
        <f>G43*L43/18*8</f>
        <v>36101.879999999997</v>
      </c>
      <c r="O43" s="65">
        <f t="shared" si="4"/>
        <v>112584.87291666667</v>
      </c>
      <c r="P43" s="65">
        <f t="shared" si="5"/>
        <v>28146.218229166669</v>
      </c>
      <c r="Q43" s="65">
        <f t="shared" si="6"/>
        <v>140731.09114583334</v>
      </c>
      <c r="R43" s="64">
        <f t="shared" si="7"/>
        <v>68439.015246212133</v>
      </c>
      <c r="S43" s="72"/>
      <c r="T43" s="72"/>
      <c r="U43" s="73"/>
      <c r="V43" s="73">
        <v>0.6</v>
      </c>
      <c r="W43" s="74">
        <f>G43*V43</f>
        <v>10618.199999999999</v>
      </c>
      <c r="X43" s="10"/>
      <c r="Y43" s="10"/>
      <c r="Z43" s="66"/>
      <c r="AA43" s="10"/>
      <c r="AB43" s="77"/>
      <c r="AC43" s="69"/>
      <c r="AD43" s="10"/>
      <c r="AE43" s="10"/>
      <c r="AF43" s="10"/>
      <c r="AG43" s="10"/>
      <c r="AH43" s="10"/>
      <c r="AI43" s="10"/>
      <c r="AJ43" s="66">
        <v>0.4</v>
      </c>
      <c r="AK43" s="48">
        <v>3</v>
      </c>
      <c r="AL43" s="79">
        <v>1</v>
      </c>
      <c r="AM43" s="81">
        <f>7079/18*AK43/22*1</f>
        <v>53.628787878787875</v>
      </c>
      <c r="AN43" s="48"/>
      <c r="AO43" s="81"/>
      <c r="AP43" s="66"/>
      <c r="AQ43" s="10"/>
      <c r="AR43" s="10"/>
      <c r="AS43" s="80">
        <v>0.3</v>
      </c>
      <c r="AT43" s="49">
        <v>19</v>
      </c>
      <c r="AU43" s="71">
        <f t="shared" si="1"/>
        <v>43694.077343750003</v>
      </c>
      <c r="AV43" s="80">
        <v>0.1</v>
      </c>
      <c r="AW43" s="71">
        <f t="shared" si="8"/>
        <v>14073.109114583334</v>
      </c>
      <c r="AX43" s="64">
        <f t="shared" si="9"/>
        <v>209170.10639204548</v>
      </c>
      <c r="AY43" s="71">
        <f t="shared" si="10"/>
        <v>140731.09114583334</v>
      </c>
      <c r="AZ43" s="64">
        <f t="shared" si="11"/>
        <v>2510041.2767045456</v>
      </c>
      <c r="BA43" s="5"/>
      <c r="BB43" s="5"/>
    </row>
    <row r="44" spans="1:54" ht="15.75" customHeight="1">
      <c r="A44" s="5">
        <v>38</v>
      </c>
      <c r="B44" s="19" t="s">
        <v>81</v>
      </c>
      <c r="C44" s="22" t="s">
        <v>122</v>
      </c>
      <c r="D44" s="36" t="s">
        <v>191</v>
      </c>
      <c r="E44" s="43" t="s">
        <v>203</v>
      </c>
      <c r="F44" s="33" t="s">
        <v>249</v>
      </c>
      <c r="G44" s="72">
        <v>17697</v>
      </c>
      <c r="H44" s="49">
        <v>18</v>
      </c>
      <c r="I44" s="51"/>
      <c r="J44" s="49"/>
      <c r="K44" s="57">
        <v>4.66</v>
      </c>
      <c r="L44" s="57"/>
      <c r="M44" s="65">
        <f t="shared" si="2"/>
        <v>82468.020000000019</v>
      </c>
      <c r="N44" s="65">
        <f t="shared" si="3"/>
        <v>0</v>
      </c>
      <c r="O44" s="65">
        <f t="shared" si="4"/>
        <v>103085.02500000002</v>
      </c>
      <c r="P44" s="65">
        <f t="shared" si="5"/>
        <v>25771.256250000006</v>
      </c>
      <c r="Q44" s="65">
        <f t="shared" si="6"/>
        <v>128856.28125000003</v>
      </c>
      <c r="R44" s="64">
        <f t="shared" si="7"/>
        <v>62345.784395424846</v>
      </c>
      <c r="S44" s="72"/>
      <c r="T44" s="72"/>
      <c r="U44" s="73"/>
      <c r="V44" s="73">
        <v>0.6</v>
      </c>
      <c r="W44" s="74">
        <f>G44*V44</f>
        <v>10618.199999999999</v>
      </c>
      <c r="X44" s="10"/>
      <c r="Y44" s="10"/>
      <c r="Z44" s="66"/>
      <c r="AA44" s="10"/>
      <c r="AB44" s="77"/>
      <c r="AC44" s="69"/>
      <c r="AD44" s="10"/>
      <c r="AE44" s="10"/>
      <c r="AF44" s="10"/>
      <c r="AG44" s="10"/>
      <c r="AH44" s="10"/>
      <c r="AI44" s="10"/>
      <c r="AJ44" s="83">
        <v>0.4</v>
      </c>
      <c r="AK44" s="48">
        <v>8</v>
      </c>
      <c r="AL44" s="79">
        <v>1</v>
      </c>
      <c r="AM44" s="81">
        <f>7079/18*AK44/17*1</f>
        <v>185.07189542483661</v>
      </c>
      <c r="AN44" s="48"/>
      <c r="AO44" s="81"/>
      <c r="AP44" s="83"/>
      <c r="AQ44" s="10"/>
      <c r="AR44" s="10"/>
      <c r="AS44" s="80">
        <v>0.3</v>
      </c>
      <c r="AT44" s="49">
        <v>18</v>
      </c>
      <c r="AU44" s="71">
        <f t="shared" si="1"/>
        <v>38656.884375000009</v>
      </c>
      <c r="AV44" s="80">
        <v>0.1</v>
      </c>
      <c r="AW44" s="71">
        <f t="shared" si="8"/>
        <v>12885.628125000003</v>
      </c>
      <c r="AX44" s="64">
        <f t="shared" si="9"/>
        <v>191202.06564542488</v>
      </c>
      <c r="AY44" s="71">
        <f t="shared" si="10"/>
        <v>128856.28125000003</v>
      </c>
      <c r="AZ44" s="64">
        <f t="shared" si="11"/>
        <v>2294424.7877450986</v>
      </c>
      <c r="BA44" s="5"/>
      <c r="BB44" s="5"/>
    </row>
    <row r="45" spans="1:54" ht="15.75" customHeight="1">
      <c r="A45" s="5">
        <v>39</v>
      </c>
      <c r="B45" s="19" t="s">
        <v>82</v>
      </c>
      <c r="C45" s="22" t="s">
        <v>122</v>
      </c>
      <c r="D45" s="37" t="s">
        <v>191</v>
      </c>
      <c r="E45" s="43" t="s">
        <v>211</v>
      </c>
      <c r="F45" s="33" t="s">
        <v>249</v>
      </c>
      <c r="G45" s="72">
        <v>17697</v>
      </c>
      <c r="H45" s="49">
        <v>18</v>
      </c>
      <c r="I45" s="51"/>
      <c r="J45" s="49"/>
      <c r="K45" s="57">
        <v>4.59</v>
      </c>
      <c r="L45" s="57"/>
      <c r="M45" s="65">
        <f t="shared" si="2"/>
        <v>81229.23</v>
      </c>
      <c r="N45" s="65">
        <f t="shared" si="3"/>
        <v>0</v>
      </c>
      <c r="O45" s="65">
        <f t="shared" si="4"/>
        <v>101536.53749999999</v>
      </c>
      <c r="P45" s="65">
        <f t="shared" si="5"/>
        <v>25384.134374999998</v>
      </c>
      <c r="Q45" s="65">
        <f t="shared" si="6"/>
        <v>126920.67187499999</v>
      </c>
      <c r="R45" s="64">
        <f t="shared" si="7"/>
        <v>61453.300267792292</v>
      </c>
      <c r="S45" s="72"/>
      <c r="T45" s="72"/>
      <c r="U45" s="73"/>
      <c r="V45" s="73">
        <v>0.6</v>
      </c>
      <c r="W45" s="74">
        <f>G45*V45</f>
        <v>10618.199999999999</v>
      </c>
      <c r="X45" s="10"/>
      <c r="Y45" s="10"/>
      <c r="Z45" s="66"/>
      <c r="AA45" s="10"/>
      <c r="AB45" s="77"/>
      <c r="AC45" s="69"/>
      <c r="AD45" s="10"/>
      <c r="AE45" s="10"/>
      <c r="AF45" s="10"/>
      <c r="AG45" s="10"/>
      <c r="AH45" s="10"/>
      <c r="AI45" s="10"/>
      <c r="AJ45" s="66">
        <v>0.4</v>
      </c>
      <c r="AK45" s="48">
        <v>3</v>
      </c>
      <c r="AL45" s="79">
        <v>1</v>
      </c>
      <c r="AM45" s="81">
        <f>(7079/18*2/18*1)+(7079/18*1/17*1)</f>
        <v>66.831517792302108</v>
      </c>
      <c r="AN45" s="48"/>
      <c r="AO45" s="81"/>
      <c r="AP45" s="66"/>
      <c r="AQ45" s="10"/>
      <c r="AR45" s="10"/>
      <c r="AS45" s="80">
        <v>0.3</v>
      </c>
      <c r="AT45" s="49">
        <v>18</v>
      </c>
      <c r="AU45" s="71">
        <f t="shared" si="1"/>
        <v>38076.201562499999</v>
      </c>
      <c r="AV45" s="80">
        <v>0.1</v>
      </c>
      <c r="AW45" s="71">
        <f t="shared" si="8"/>
        <v>12692.067187499999</v>
      </c>
      <c r="AX45" s="64">
        <f t="shared" si="9"/>
        <v>188373.97214279228</v>
      </c>
      <c r="AY45" s="71">
        <f t="shared" si="10"/>
        <v>126920.67187499999</v>
      </c>
      <c r="AZ45" s="64">
        <f t="shared" si="11"/>
        <v>2260487.6657135072</v>
      </c>
      <c r="BA45" s="5"/>
      <c r="BB45" s="5"/>
    </row>
    <row r="46" spans="1:54" ht="15.75" customHeight="1">
      <c r="A46" s="5">
        <v>40</v>
      </c>
      <c r="B46" s="19" t="s">
        <v>83</v>
      </c>
      <c r="C46" s="22" t="s">
        <v>122</v>
      </c>
      <c r="D46" s="37" t="s">
        <v>191</v>
      </c>
      <c r="E46" s="42" t="s">
        <v>227</v>
      </c>
      <c r="F46" s="33" t="s">
        <v>250</v>
      </c>
      <c r="G46" s="72">
        <v>17697</v>
      </c>
      <c r="H46" s="49">
        <v>5</v>
      </c>
      <c r="I46" s="51"/>
      <c r="J46" s="49"/>
      <c r="K46" s="57">
        <v>4.0999999999999996</v>
      </c>
      <c r="L46" s="57"/>
      <c r="M46" s="65">
        <f t="shared" si="2"/>
        <v>20154.916666666664</v>
      </c>
      <c r="N46" s="65">
        <f t="shared" si="3"/>
        <v>0</v>
      </c>
      <c r="O46" s="65">
        <f t="shared" si="4"/>
        <v>25193.645833333328</v>
      </c>
      <c r="P46" s="65">
        <f t="shared" si="5"/>
        <v>6298.4114583333321</v>
      </c>
      <c r="Q46" s="65">
        <f t="shared" si="6"/>
        <v>31492.057291666661</v>
      </c>
      <c r="R46" s="64">
        <f t="shared" si="7"/>
        <v>12643.090890522873</v>
      </c>
      <c r="S46" s="72"/>
      <c r="T46" s="72"/>
      <c r="U46" s="73"/>
      <c r="V46" s="74"/>
      <c r="W46" s="74"/>
      <c r="X46" s="10"/>
      <c r="Y46" s="10"/>
      <c r="Z46" s="66"/>
      <c r="AA46" s="10"/>
      <c r="AB46" s="77"/>
      <c r="AC46" s="69"/>
      <c r="AD46" s="10"/>
      <c r="AE46" s="10"/>
      <c r="AF46" s="10"/>
      <c r="AG46" s="10"/>
      <c r="AH46" s="10"/>
      <c r="AI46" s="10"/>
      <c r="AJ46" s="83">
        <v>0.4</v>
      </c>
      <c r="AK46" s="48">
        <v>2</v>
      </c>
      <c r="AL46" s="79">
        <v>1</v>
      </c>
      <c r="AM46" s="81">
        <f>7079/18*AK46/17*1</f>
        <v>46.267973856209153</v>
      </c>
      <c r="AN46" s="48"/>
      <c r="AO46" s="81"/>
      <c r="AP46" s="83"/>
      <c r="AQ46" s="10"/>
      <c r="AR46" s="10"/>
      <c r="AS46" s="80">
        <v>0.3</v>
      </c>
      <c r="AT46" s="49">
        <v>5</v>
      </c>
      <c r="AU46" s="71">
        <f t="shared" si="1"/>
        <v>9447.6171874999982</v>
      </c>
      <c r="AV46" s="80">
        <v>0.1</v>
      </c>
      <c r="AW46" s="71">
        <f t="shared" si="8"/>
        <v>3149.2057291666661</v>
      </c>
      <c r="AX46" s="64">
        <f t="shared" si="9"/>
        <v>44135.148182189536</v>
      </c>
      <c r="AY46" s="71">
        <f t="shared" si="10"/>
        <v>31492.057291666661</v>
      </c>
      <c r="AZ46" s="64">
        <f t="shared" si="11"/>
        <v>529621.77818627446</v>
      </c>
      <c r="BA46" s="5"/>
      <c r="BB46" s="5"/>
    </row>
    <row r="47" spans="1:54" ht="15.75" customHeight="1">
      <c r="A47" s="5">
        <v>41</v>
      </c>
      <c r="B47" s="19" t="s">
        <v>84</v>
      </c>
      <c r="C47" s="22" t="s">
        <v>124</v>
      </c>
      <c r="D47" s="36" t="s">
        <v>191</v>
      </c>
      <c r="E47" s="43" t="s">
        <v>198</v>
      </c>
      <c r="F47" s="33" t="s">
        <v>248</v>
      </c>
      <c r="G47" s="72">
        <v>17697</v>
      </c>
      <c r="H47" s="49">
        <v>18</v>
      </c>
      <c r="I47" s="51"/>
      <c r="J47" s="49"/>
      <c r="K47" s="57">
        <v>5.32</v>
      </c>
      <c r="L47" s="57"/>
      <c r="M47" s="65">
        <f t="shared" si="2"/>
        <v>94148.040000000008</v>
      </c>
      <c r="N47" s="65">
        <f t="shared" si="3"/>
        <v>0</v>
      </c>
      <c r="O47" s="65">
        <f t="shared" si="4"/>
        <v>117685.05000000002</v>
      </c>
      <c r="P47" s="65">
        <f t="shared" si="5"/>
        <v>29421.262500000004</v>
      </c>
      <c r="Q47" s="65">
        <f t="shared" si="6"/>
        <v>147106.31250000003</v>
      </c>
      <c r="R47" s="64">
        <f t="shared" si="7"/>
        <v>59031.102044959414</v>
      </c>
      <c r="S47" s="75"/>
      <c r="T47" s="72"/>
      <c r="U47" s="73"/>
      <c r="V47" s="73"/>
      <c r="W47" s="74"/>
      <c r="X47" s="10"/>
      <c r="Y47" s="10"/>
      <c r="Z47" s="66"/>
      <c r="AA47" s="10"/>
      <c r="AB47" s="77"/>
      <c r="AC47" s="69"/>
      <c r="AD47" s="10"/>
      <c r="AE47" s="10"/>
      <c r="AF47" s="10"/>
      <c r="AG47" s="10"/>
      <c r="AH47" s="10"/>
      <c r="AI47" s="10"/>
      <c r="AJ47" s="66">
        <v>0.4</v>
      </c>
      <c r="AK47" s="48">
        <v>9</v>
      </c>
      <c r="AL47" s="79">
        <v>1</v>
      </c>
      <c r="AM47" s="81">
        <f>(7079/18*1/22*3)+(7079/18*3/18*1+7079/18*3/17*1)</f>
        <v>188.57704495939788</v>
      </c>
      <c r="AN47" s="48"/>
      <c r="AO47" s="81"/>
      <c r="AP47" s="66"/>
      <c r="AQ47" s="10"/>
      <c r="AR47" s="10"/>
      <c r="AS47" s="80">
        <v>0.3</v>
      </c>
      <c r="AT47" s="49">
        <v>18</v>
      </c>
      <c r="AU47" s="71">
        <f t="shared" si="1"/>
        <v>44131.89375000001</v>
      </c>
      <c r="AV47" s="80">
        <v>0.1</v>
      </c>
      <c r="AW47" s="71">
        <f t="shared" si="8"/>
        <v>14710.631250000004</v>
      </c>
      <c r="AX47" s="64">
        <f t="shared" si="9"/>
        <v>206137.41454495944</v>
      </c>
      <c r="AY47" s="71">
        <f t="shared" si="10"/>
        <v>147106.31250000003</v>
      </c>
      <c r="AZ47" s="64">
        <f t="shared" si="11"/>
        <v>2473648.9745395132</v>
      </c>
      <c r="BA47" s="5"/>
      <c r="BB47" s="5"/>
    </row>
    <row r="48" spans="1:54" ht="15.75" customHeight="1">
      <c r="A48" s="5">
        <v>42</v>
      </c>
      <c r="B48" s="19" t="s">
        <v>85</v>
      </c>
      <c r="C48" s="22" t="s">
        <v>124</v>
      </c>
      <c r="D48" s="37" t="s">
        <v>191</v>
      </c>
      <c r="E48" s="43" t="s">
        <v>228</v>
      </c>
      <c r="F48" s="33" t="s">
        <v>249</v>
      </c>
      <c r="G48" s="72">
        <v>17697</v>
      </c>
      <c r="H48" s="49">
        <v>18</v>
      </c>
      <c r="I48" s="51"/>
      <c r="J48" s="49"/>
      <c r="K48" s="57">
        <v>4.74</v>
      </c>
      <c r="L48" s="57"/>
      <c r="M48" s="65">
        <f t="shared" si="2"/>
        <v>83883.78</v>
      </c>
      <c r="N48" s="65">
        <f t="shared" si="3"/>
        <v>0</v>
      </c>
      <c r="O48" s="65">
        <f t="shared" si="4"/>
        <v>104854.72500000001</v>
      </c>
      <c r="P48" s="65">
        <f t="shared" si="5"/>
        <v>26213.681250000001</v>
      </c>
      <c r="Q48" s="65">
        <f t="shared" si="6"/>
        <v>131068.40625</v>
      </c>
      <c r="R48" s="64">
        <f t="shared" si="7"/>
        <v>63045.5625</v>
      </c>
      <c r="S48" s="72"/>
      <c r="T48" s="72"/>
      <c r="U48" s="73"/>
      <c r="V48" s="73">
        <v>0.6</v>
      </c>
      <c r="W48" s="74">
        <f>G48*V48</f>
        <v>10618.199999999999</v>
      </c>
      <c r="X48" s="10"/>
      <c r="Y48" s="10"/>
      <c r="Z48" s="66"/>
      <c r="AA48" s="10"/>
      <c r="AB48" s="77"/>
      <c r="AC48" s="69"/>
      <c r="AD48" s="10"/>
      <c r="AE48" s="10"/>
      <c r="AF48" s="10"/>
      <c r="AG48" s="10"/>
      <c r="AH48" s="10"/>
      <c r="AI48" s="10"/>
      <c r="AJ48" s="83"/>
      <c r="AK48" s="48"/>
      <c r="AL48" s="79"/>
      <c r="AM48" s="48"/>
      <c r="AN48" s="48"/>
      <c r="AO48" s="48"/>
      <c r="AP48" s="83"/>
      <c r="AQ48" s="10"/>
      <c r="AR48" s="10"/>
      <c r="AS48" s="80">
        <v>0.3</v>
      </c>
      <c r="AT48" s="49">
        <v>18</v>
      </c>
      <c r="AU48" s="71">
        <f t="shared" si="1"/>
        <v>39320.521874999999</v>
      </c>
      <c r="AV48" s="80">
        <v>0.1</v>
      </c>
      <c r="AW48" s="71">
        <f t="shared" si="8"/>
        <v>13106.840625000001</v>
      </c>
      <c r="AX48" s="64">
        <f t="shared" si="9"/>
        <v>194113.96875</v>
      </c>
      <c r="AY48" s="71">
        <f t="shared" si="10"/>
        <v>131068.40625</v>
      </c>
      <c r="AZ48" s="64">
        <f t="shared" si="11"/>
        <v>2329367.625</v>
      </c>
      <c r="BA48" s="5"/>
      <c r="BB48" s="5"/>
    </row>
    <row r="49" spans="1:54" ht="15.75" customHeight="1">
      <c r="A49" s="5">
        <v>43</v>
      </c>
      <c r="B49" s="19" t="s">
        <v>86</v>
      </c>
      <c r="C49" s="22" t="s">
        <v>124</v>
      </c>
      <c r="D49" s="36" t="s">
        <v>191</v>
      </c>
      <c r="E49" s="43" t="s">
        <v>211</v>
      </c>
      <c r="F49" s="33" t="s">
        <v>249</v>
      </c>
      <c r="G49" s="72">
        <v>17697</v>
      </c>
      <c r="H49" s="49">
        <v>18</v>
      </c>
      <c r="I49" s="51"/>
      <c r="J49" s="49"/>
      <c r="K49" s="57">
        <v>4.59</v>
      </c>
      <c r="L49" s="57"/>
      <c r="M49" s="65">
        <f t="shared" si="2"/>
        <v>81229.23</v>
      </c>
      <c r="N49" s="65">
        <f t="shared" si="3"/>
        <v>0</v>
      </c>
      <c r="O49" s="65">
        <f t="shared" si="4"/>
        <v>101536.53749999999</v>
      </c>
      <c r="P49" s="65">
        <f t="shared" si="5"/>
        <v>25384.134374999998</v>
      </c>
      <c r="Q49" s="65">
        <f t="shared" si="6"/>
        <v>126920.67187499999</v>
      </c>
      <c r="R49" s="64">
        <f t="shared" si="7"/>
        <v>50768.268749999996</v>
      </c>
      <c r="S49" s="72"/>
      <c r="T49" s="72"/>
      <c r="U49" s="73"/>
      <c r="V49" s="73"/>
      <c r="W49" s="74"/>
      <c r="X49" s="10"/>
      <c r="Y49" s="10"/>
      <c r="Z49" s="66"/>
      <c r="AA49" s="10"/>
      <c r="AB49" s="77"/>
      <c r="AC49" s="69"/>
      <c r="AD49" s="10"/>
      <c r="AE49" s="10"/>
      <c r="AF49" s="10"/>
      <c r="AG49" s="10"/>
      <c r="AH49" s="10"/>
      <c r="AI49" s="10"/>
      <c r="AJ49" s="82"/>
      <c r="AK49" s="48"/>
      <c r="AL49" s="79"/>
      <c r="AM49" s="77"/>
      <c r="AN49" s="48"/>
      <c r="AO49" s="77"/>
      <c r="AP49" s="82"/>
      <c r="AQ49" s="10"/>
      <c r="AR49" s="10"/>
      <c r="AS49" s="80">
        <v>0.3</v>
      </c>
      <c r="AT49" s="49">
        <v>18</v>
      </c>
      <c r="AU49" s="71">
        <f t="shared" si="1"/>
        <v>38076.201562499999</v>
      </c>
      <c r="AV49" s="80">
        <v>0.1</v>
      </c>
      <c r="AW49" s="71">
        <f t="shared" si="8"/>
        <v>12692.067187499999</v>
      </c>
      <c r="AX49" s="64">
        <f t="shared" si="9"/>
        <v>177688.94062499999</v>
      </c>
      <c r="AY49" s="71">
        <f t="shared" si="10"/>
        <v>126920.67187499999</v>
      </c>
      <c r="AZ49" s="64">
        <f t="shared" si="11"/>
        <v>2132267.2874999996</v>
      </c>
      <c r="BA49" s="5"/>
      <c r="BB49" s="5"/>
    </row>
    <row r="50" spans="1:54" ht="15.75" customHeight="1">
      <c r="A50" s="5">
        <v>44</v>
      </c>
      <c r="B50" s="19" t="s">
        <v>87</v>
      </c>
      <c r="C50" s="22" t="s">
        <v>124</v>
      </c>
      <c r="D50" s="37" t="s">
        <v>191</v>
      </c>
      <c r="E50" s="43" t="s">
        <v>229</v>
      </c>
      <c r="F50" s="33" t="s">
        <v>250</v>
      </c>
      <c r="G50" s="72">
        <v>17697</v>
      </c>
      <c r="H50" s="49">
        <v>18</v>
      </c>
      <c r="I50" s="51"/>
      <c r="J50" s="49"/>
      <c r="K50" s="57">
        <v>4.2300000000000004</v>
      </c>
      <c r="L50" s="57"/>
      <c r="M50" s="65">
        <f t="shared" si="2"/>
        <v>74858.310000000012</v>
      </c>
      <c r="N50" s="65">
        <f t="shared" si="3"/>
        <v>0</v>
      </c>
      <c r="O50" s="65">
        <f t="shared" si="4"/>
        <v>93572.887500000012</v>
      </c>
      <c r="P50" s="65">
        <f t="shared" si="5"/>
        <v>23393.221875000003</v>
      </c>
      <c r="Q50" s="65">
        <f t="shared" si="6"/>
        <v>116966.10937500001</v>
      </c>
      <c r="R50" s="64">
        <f t="shared" si="7"/>
        <v>74628.540241228067</v>
      </c>
      <c r="S50" s="72"/>
      <c r="T50" s="72"/>
      <c r="U50" s="73"/>
      <c r="V50" s="73"/>
      <c r="W50" s="74"/>
      <c r="X50" s="10"/>
      <c r="Y50" s="10"/>
      <c r="Z50" s="67"/>
      <c r="AA50" s="10"/>
      <c r="AB50" s="77"/>
      <c r="AC50" s="69"/>
      <c r="AD50" s="10"/>
      <c r="AE50" s="10"/>
      <c r="AF50" s="10"/>
      <c r="AG50" s="10"/>
      <c r="AH50" s="10"/>
      <c r="AI50" s="69">
        <v>27780</v>
      </c>
      <c r="AJ50" s="66">
        <v>0.4</v>
      </c>
      <c r="AK50" s="48">
        <v>3</v>
      </c>
      <c r="AL50" s="79">
        <v>1</v>
      </c>
      <c r="AM50" s="81">
        <f>7079/18*AK50/19*1</f>
        <v>62.096491228070171</v>
      </c>
      <c r="AN50" s="48"/>
      <c r="AO50" s="81"/>
      <c r="AP50" s="66"/>
      <c r="AQ50" s="10"/>
      <c r="AR50" s="10"/>
      <c r="AS50" s="80">
        <v>0.3</v>
      </c>
      <c r="AT50" s="49">
        <v>18</v>
      </c>
      <c r="AU50" s="71">
        <f t="shared" si="1"/>
        <v>35089.832812500004</v>
      </c>
      <c r="AV50" s="80">
        <v>0.1</v>
      </c>
      <c r="AW50" s="71">
        <f t="shared" si="8"/>
        <v>11696.610937500001</v>
      </c>
      <c r="AX50" s="64">
        <f t="shared" si="9"/>
        <v>191594.64961622807</v>
      </c>
      <c r="AY50" s="71">
        <f t="shared" si="10"/>
        <v>116966.10937500001</v>
      </c>
      <c r="AZ50" s="64">
        <f t="shared" si="11"/>
        <v>2299135.7953947368</v>
      </c>
      <c r="BA50" s="5"/>
      <c r="BB50" s="5"/>
    </row>
    <row r="51" spans="1:54" ht="15.75" customHeight="1">
      <c r="A51" s="5">
        <v>45</v>
      </c>
      <c r="B51" s="19" t="s">
        <v>88</v>
      </c>
      <c r="C51" s="22" t="s">
        <v>124</v>
      </c>
      <c r="D51" s="36" t="s">
        <v>191</v>
      </c>
      <c r="E51" s="43" t="s">
        <v>230</v>
      </c>
      <c r="F51" s="33" t="s">
        <v>250</v>
      </c>
      <c r="G51" s="72">
        <v>17697</v>
      </c>
      <c r="H51" s="49">
        <v>18</v>
      </c>
      <c r="I51" s="51"/>
      <c r="J51" s="49"/>
      <c r="K51" s="57">
        <v>4.1399999999999997</v>
      </c>
      <c r="L51" s="57"/>
      <c r="M51" s="65">
        <f t="shared" si="2"/>
        <v>73265.579999999987</v>
      </c>
      <c r="N51" s="65">
        <f t="shared" si="3"/>
        <v>0</v>
      </c>
      <c r="O51" s="65">
        <f t="shared" si="4"/>
        <v>91581.974999999977</v>
      </c>
      <c r="P51" s="65">
        <f t="shared" si="5"/>
        <v>22895.493749999994</v>
      </c>
      <c r="Q51" s="65">
        <f t="shared" si="6"/>
        <v>114477.46874999997</v>
      </c>
      <c r="R51" s="64">
        <f t="shared" si="7"/>
        <v>45790.987499999988</v>
      </c>
      <c r="S51" s="72"/>
      <c r="T51" s="72"/>
      <c r="U51" s="73"/>
      <c r="V51" s="73"/>
      <c r="W51" s="74"/>
      <c r="X51" s="10"/>
      <c r="Y51" s="10"/>
      <c r="Z51" s="66"/>
      <c r="AA51" s="10"/>
      <c r="AB51" s="77"/>
      <c r="AC51" s="69"/>
      <c r="AD51" s="10"/>
      <c r="AE51" s="10"/>
      <c r="AF51" s="10"/>
      <c r="AG51" s="10"/>
      <c r="AH51" s="10"/>
      <c r="AI51" s="10"/>
      <c r="AJ51" s="83"/>
      <c r="AK51" s="48"/>
      <c r="AL51" s="79"/>
      <c r="AM51" s="48"/>
      <c r="AN51" s="48"/>
      <c r="AO51" s="48"/>
      <c r="AP51" s="83"/>
      <c r="AQ51" s="10"/>
      <c r="AR51" s="10"/>
      <c r="AS51" s="80">
        <v>0.3</v>
      </c>
      <c r="AT51" s="49">
        <v>18</v>
      </c>
      <c r="AU51" s="71">
        <f t="shared" si="1"/>
        <v>34343.240624999991</v>
      </c>
      <c r="AV51" s="80">
        <v>0.1</v>
      </c>
      <c r="AW51" s="71">
        <f t="shared" si="8"/>
        <v>11447.746874999997</v>
      </c>
      <c r="AX51" s="64">
        <f t="shared" si="9"/>
        <v>160268.45624999996</v>
      </c>
      <c r="AY51" s="71">
        <f t="shared" si="10"/>
        <v>114477.46874999997</v>
      </c>
      <c r="AZ51" s="64">
        <f t="shared" si="11"/>
        <v>1923221.4749999996</v>
      </c>
      <c r="BA51" s="5"/>
      <c r="BB51" s="5"/>
    </row>
    <row r="52" spans="1:54" ht="15.75" customHeight="1">
      <c r="A52" s="5">
        <v>46</v>
      </c>
      <c r="B52" s="19" t="s">
        <v>89</v>
      </c>
      <c r="C52" s="22" t="s">
        <v>125</v>
      </c>
      <c r="D52" s="36" t="s">
        <v>191</v>
      </c>
      <c r="E52" s="43" t="s">
        <v>230</v>
      </c>
      <c r="F52" s="33" t="s">
        <v>250</v>
      </c>
      <c r="G52" s="72">
        <v>17697</v>
      </c>
      <c r="H52" s="49">
        <v>6</v>
      </c>
      <c r="I52" s="51"/>
      <c r="J52" s="49">
        <v>1</v>
      </c>
      <c r="K52" s="57">
        <v>4.1399999999999997</v>
      </c>
      <c r="L52" s="57">
        <v>4.1399999999999997</v>
      </c>
      <c r="M52" s="65">
        <v>0</v>
      </c>
      <c r="N52" s="65">
        <f t="shared" si="3"/>
        <v>73265.579999999987</v>
      </c>
      <c r="O52" s="65">
        <f t="shared" si="4"/>
        <v>91581.974999999977</v>
      </c>
      <c r="P52" s="65">
        <f t="shared" si="5"/>
        <v>22895.493749999994</v>
      </c>
      <c r="Q52" s="65">
        <f t="shared" si="6"/>
        <v>114477.46874999997</v>
      </c>
      <c r="R52" s="64">
        <f t="shared" si="7"/>
        <v>22940.476502360198</v>
      </c>
      <c r="S52" s="72"/>
      <c r="T52" s="72"/>
      <c r="U52" s="73"/>
      <c r="V52" s="73"/>
      <c r="W52" s="74"/>
      <c r="X52" s="10"/>
      <c r="Y52" s="10"/>
      <c r="Z52" s="66"/>
      <c r="AA52" s="10"/>
      <c r="AB52" s="77"/>
      <c r="AC52" s="69"/>
      <c r="AD52" s="10"/>
      <c r="AE52" s="10"/>
      <c r="AF52" s="10"/>
      <c r="AG52" s="10"/>
      <c r="AH52" s="10"/>
      <c r="AI52" s="10"/>
      <c r="AJ52" s="66">
        <v>0.4</v>
      </c>
      <c r="AK52" s="48">
        <v>2</v>
      </c>
      <c r="AL52" s="79">
        <v>1</v>
      </c>
      <c r="AM52" s="81">
        <f>(7079/18*1/18*1)+(7079/18*1/17*1)</f>
        <v>44.982752360203342</v>
      </c>
      <c r="AN52" s="48"/>
      <c r="AO52" s="81"/>
      <c r="AP52" s="66"/>
      <c r="AQ52" s="10"/>
      <c r="AR52" s="10"/>
      <c r="AS52" s="80">
        <v>0.3</v>
      </c>
      <c r="AT52" s="49">
        <v>6</v>
      </c>
      <c r="AU52" s="71">
        <f t="shared" si="1"/>
        <v>11447.746874999997</v>
      </c>
      <c r="AV52" s="80">
        <v>0.1</v>
      </c>
      <c r="AW52" s="71">
        <f t="shared" si="8"/>
        <v>11447.746874999997</v>
      </c>
      <c r="AX52" s="64">
        <f t="shared" si="9"/>
        <v>137417.94525236016</v>
      </c>
      <c r="AY52" s="71">
        <f t="shared" si="10"/>
        <v>114477.46874999997</v>
      </c>
      <c r="AZ52" s="64">
        <f t="shared" si="11"/>
        <v>1649015.3430283219</v>
      </c>
      <c r="BA52" s="5"/>
      <c r="BB52" s="5"/>
    </row>
    <row r="53" spans="1:54" ht="15.75" customHeight="1">
      <c r="A53" s="5">
        <v>47</v>
      </c>
      <c r="B53" s="19" t="s">
        <v>90</v>
      </c>
      <c r="C53" s="22" t="s">
        <v>142</v>
      </c>
      <c r="D53" s="37" t="s">
        <v>191</v>
      </c>
      <c r="E53" s="43" t="s">
        <v>219</v>
      </c>
      <c r="F53" s="33" t="s">
        <v>247</v>
      </c>
      <c r="G53" s="72">
        <v>17697</v>
      </c>
      <c r="H53" s="49">
        <v>19</v>
      </c>
      <c r="I53" s="51"/>
      <c r="J53" s="49"/>
      <c r="K53" s="57">
        <v>5.2</v>
      </c>
      <c r="L53" s="57"/>
      <c r="M53" s="65">
        <f t="shared" si="2"/>
        <v>97136.866666666669</v>
      </c>
      <c r="N53" s="65">
        <f t="shared" si="3"/>
        <v>0</v>
      </c>
      <c r="O53" s="65">
        <f t="shared" si="4"/>
        <v>121421.08333333334</v>
      </c>
      <c r="P53" s="65">
        <f t="shared" si="5"/>
        <v>30355.270833333336</v>
      </c>
      <c r="Q53" s="65">
        <f t="shared" si="6"/>
        <v>151776.35416666669</v>
      </c>
      <c r="R53" s="64">
        <f t="shared" si="7"/>
        <v>64267.817929292942</v>
      </c>
      <c r="S53" s="72"/>
      <c r="T53" s="72"/>
      <c r="U53" s="73"/>
      <c r="V53" s="74"/>
      <c r="W53" s="74"/>
      <c r="X53" s="10"/>
      <c r="Y53" s="10"/>
      <c r="Z53" s="66">
        <v>0.2</v>
      </c>
      <c r="AA53" s="71">
        <f>G53*Z53</f>
        <v>3539.4</v>
      </c>
      <c r="AB53" s="77"/>
      <c r="AC53" s="69"/>
      <c r="AD53" s="10"/>
      <c r="AE53" s="10"/>
      <c r="AF53" s="10"/>
      <c r="AG53" s="10"/>
      <c r="AH53" s="10"/>
      <c r="AI53" s="10"/>
      <c r="AJ53" s="66">
        <v>0.4</v>
      </c>
      <c r="AK53" s="48">
        <v>1</v>
      </c>
      <c r="AL53" s="79">
        <v>1</v>
      </c>
      <c r="AM53" s="81">
        <f>7079/18*AL53/22*1</f>
        <v>17.876262626262626</v>
      </c>
      <c r="AN53" s="48"/>
      <c r="AO53" s="81"/>
      <c r="AP53" s="66"/>
      <c r="AQ53" s="10"/>
      <c r="AR53" s="10"/>
      <c r="AS53" s="80">
        <v>0.3</v>
      </c>
      <c r="AT53" s="49">
        <v>19</v>
      </c>
      <c r="AU53" s="71">
        <f t="shared" si="1"/>
        <v>45532.906250000007</v>
      </c>
      <c r="AV53" s="80">
        <v>0.1</v>
      </c>
      <c r="AW53" s="71">
        <f t="shared" si="8"/>
        <v>15177.63541666667</v>
      </c>
      <c r="AX53" s="64">
        <f t="shared" si="9"/>
        <v>216044.17209595963</v>
      </c>
      <c r="AY53" s="71">
        <f t="shared" si="10"/>
        <v>151776.35416666669</v>
      </c>
      <c r="AZ53" s="64">
        <f t="shared" si="11"/>
        <v>2592530.0651515154</v>
      </c>
      <c r="BA53" s="5"/>
      <c r="BB53" s="5"/>
    </row>
    <row r="54" spans="1:54" ht="15.75" customHeight="1">
      <c r="A54" s="5">
        <v>48</v>
      </c>
      <c r="B54" s="19" t="s">
        <v>91</v>
      </c>
      <c r="C54" s="22" t="s">
        <v>126</v>
      </c>
      <c r="D54" s="36" t="s">
        <v>191</v>
      </c>
      <c r="E54" s="43" t="s">
        <v>231</v>
      </c>
      <c r="F54" s="33" t="s">
        <v>247</v>
      </c>
      <c r="G54" s="72">
        <v>17697</v>
      </c>
      <c r="H54" s="49">
        <v>16</v>
      </c>
      <c r="I54" s="51">
        <v>4</v>
      </c>
      <c r="J54" s="49"/>
      <c r="K54" s="57">
        <v>5.2</v>
      </c>
      <c r="L54" s="57"/>
      <c r="M54" s="65">
        <f t="shared" si="2"/>
        <v>81799.466666666674</v>
      </c>
      <c r="N54" s="65">
        <f>G54*K54/24*I54</f>
        <v>15337.400000000001</v>
      </c>
      <c r="O54" s="65">
        <f t="shared" si="4"/>
        <v>121421.08333333334</v>
      </c>
      <c r="P54" s="65">
        <f t="shared" si="5"/>
        <v>30355.270833333336</v>
      </c>
      <c r="Q54" s="65">
        <f t="shared" si="6"/>
        <v>151776.35416666669</v>
      </c>
      <c r="R54" s="64">
        <f t="shared" si="7"/>
        <v>53541.834247076025</v>
      </c>
      <c r="S54" s="72"/>
      <c r="T54" s="72"/>
      <c r="U54" s="73"/>
      <c r="V54" s="73"/>
      <c r="W54" s="74"/>
      <c r="X54" s="10"/>
      <c r="Y54" s="10"/>
      <c r="Z54" s="66"/>
      <c r="AA54" s="10"/>
      <c r="AB54" s="77"/>
      <c r="AC54" s="69"/>
      <c r="AD54" s="10"/>
      <c r="AE54" s="10"/>
      <c r="AF54" s="10"/>
      <c r="AG54" s="10"/>
      <c r="AH54" s="10"/>
      <c r="AI54" s="10"/>
      <c r="AJ54" s="66">
        <v>0.4</v>
      </c>
      <c r="AK54" s="48">
        <v>1</v>
      </c>
      <c r="AL54" s="79">
        <v>1</v>
      </c>
      <c r="AM54" s="81">
        <f>7079/18*AL54/19*1</f>
        <v>20.698830409356724</v>
      </c>
      <c r="AN54" s="48"/>
      <c r="AO54" s="81"/>
      <c r="AP54" s="66"/>
      <c r="AQ54" s="10"/>
      <c r="AR54" s="10"/>
      <c r="AS54" s="80">
        <v>0.3</v>
      </c>
      <c r="AT54" s="49">
        <v>16</v>
      </c>
      <c r="AU54" s="71">
        <f t="shared" si="1"/>
        <v>38343.5</v>
      </c>
      <c r="AV54" s="80">
        <v>0.1</v>
      </c>
      <c r="AW54" s="71">
        <f t="shared" si="8"/>
        <v>15177.63541666667</v>
      </c>
      <c r="AX54" s="64">
        <f t="shared" si="9"/>
        <v>205318.1884137427</v>
      </c>
      <c r="AY54" s="71">
        <f t="shared" si="10"/>
        <v>151776.35416666669</v>
      </c>
      <c r="AZ54" s="64">
        <f t="shared" si="11"/>
        <v>2463818.2609649124</v>
      </c>
      <c r="BA54" s="5"/>
      <c r="BB54" s="5"/>
    </row>
    <row r="55" spans="1:54" ht="15.75" customHeight="1">
      <c r="A55" s="5">
        <v>49</v>
      </c>
      <c r="B55" s="19" t="s">
        <v>92</v>
      </c>
      <c r="C55" s="22" t="s">
        <v>127</v>
      </c>
      <c r="D55" s="37" t="s">
        <v>191</v>
      </c>
      <c r="E55" s="43" t="s">
        <v>205</v>
      </c>
      <c r="F55" s="33" t="s">
        <v>249</v>
      </c>
      <c r="G55" s="72">
        <v>17697</v>
      </c>
      <c r="H55" s="49">
        <v>18</v>
      </c>
      <c r="I55" s="51"/>
      <c r="J55" s="49"/>
      <c r="K55" s="57">
        <v>5.16</v>
      </c>
      <c r="L55" s="57"/>
      <c r="M55" s="65">
        <f t="shared" si="2"/>
        <v>91316.52</v>
      </c>
      <c r="N55" s="65">
        <f t="shared" si="3"/>
        <v>0</v>
      </c>
      <c r="O55" s="65">
        <f t="shared" si="4"/>
        <v>114145.65000000001</v>
      </c>
      <c r="P55" s="65">
        <f t="shared" si="5"/>
        <v>28536.412500000002</v>
      </c>
      <c r="Q55" s="65">
        <f t="shared" si="6"/>
        <v>142682.0625</v>
      </c>
      <c r="R55" s="64">
        <f t="shared" si="7"/>
        <v>73393.391666666663</v>
      </c>
      <c r="S55" s="72"/>
      <c r="T55" s="72"/>
      <c r="U55" s="73"/>
      <c r="V55" s="73">
        <v>0.5</v>
      </c>
      <c r="W55" s="74">
        <f t="shared" ref="W55:W64" si="12">G55*V55</f>
        <v>8848.5</v>
      </c>
      <c r="X55" s="10"/>
      <c r="Y55" s="10"/>
      <c r="Z55" s="66">
        <v>0.2</v>
      </c>
      <c r="AA55" s="71">
        <f>G55*Z55</f>
        <v>3539.4</v>
      </c>
      <c r="AB55" s="77">
        <v>0.4</v>
      </c>
      <c r="AC55" s="64">
        <f>G55*AB55/18*10</f>
        <v>3932.6666666666665</v>
      </c>
      <c r="AD55" s="10"/>
      <c r="AE55" s="10"/>
      <c r="AF55" s="10"/>
      <c r="AG55" s="10"/>
      <c r="AH55" s="10"/>
      <c r="AI55" s="10"/>
      <c r="AJ55" s="83"/>
      <c r="AK55" s="48"/>
      <c r="AL55" s="79"/>
      <c r="AM55" s="48"/>
      <c r="AN55" s="48"/>
      <c r="AO55" s="48"/>
      <c r="AP55" s="83"/>
      <c r="AQ55" s="10"/>
      <c r="AR55" s="10"/>
      <c r="AS55" s="80">
        <v>0.3</v>
      </c>
      <c r="AT55" s="49">
        <v>18</v>
      </c>
      <c r="AU55" s="71">
        <f t="shared" si="1"/>
        <v>42804.618750000001</v>
      </c>
      <c r="AV55" s="80">
        <v>0.1</v>
      </c>
      <c r="AW55" s="71">
        <f t="shared" si="8"/>
        <v>14268.206250000001</v>
      </c>
      <c r="AX55" s="64">
        <f t="shared" si="9"/>
        <v>216075.45416666666</v>
      </c>
      <c r="AY55" s="71">
        <f t="shared" si="10"/>
        <v>142682.0625</v>
      </c>
      <c r="AZ55" s="64">
        <f t="shared" si="11"/>
        <v>2592905.4500000002</v>
      </c>
      <c r="BA55" s="5"/>
      <c r="BB55" s="5"/>
    </row>
    <row r="56" spans="1:54" ht="15.75" customHeight="1">
      <c r="A56" s="5">
        <v>50</v>
      </c>
      <c r="B56" s="19" t="s">
        <v>93</v>
      </c>
      <c r="C56" s="22" t="s">
        <v>127</v>
      </c>
      <c r="D56" s="36" t="s">
        <v>191</v>
      </c>
      <c r="E56" s="43" t="s">
        <v>232</v>
      </c>
      <c r="F56" s="33" t="s">
        <v>247</v>
      </c>
      <c r="G56" s="72">
        <v>17697</v>
      </c>
      <c r="H56" s="49">
        <v>18</v>
      </c>
      <c r="I56" s="51"/>
      <c r="J56" s="49"/>
      <c r="K56" s="57">
        <v>5.2</v>
      </c>
      <c r="L56" s="57"/>
      <c r="M56" s="65">
        <f t="shared" si="2"/>
        <v>92024.400000000009</v>
      </c>
      <c r="N56" s="65">
        <f t="shared" si="3"/>
        <v>0</v>
      </c>
      <c r="O56" s="65">
        <f t="shared" si="4"/>
        <v>115030.50000000001</v>
      </c>
      <c r="P56" s="65">
        <f t="shared" si="5"/>
        <v>28757.625000000004</v>
      </c>
      <c r="Q56" s="65">
        <f t="shared" si="6"/>
        <v>143788.12500000003</v>
      </c>
      <c r="R56" s="64">
        <f t="shared" si="7"/>
        <v>70296.416666666672</v>
      </c>
      <c r="S56" s="72"/>
      <c r="T56" s="72"/>
      <c r="U56" s="73"/>
      <c r="V56" s="73">
        <v>0.5</v>
      </c>
      <c r="W56" s="74">
        <f t="shared" si="12"/>
        <v>8848.5</v>
      </c>
      <c r="X56" s="10"/>
      <c r="Y56" s="10"/>
      <c r="Z56" s="66"/>
      <c r="AA56" s="10"/>
      <c r="AB56" s="77">
        <v>0.4</v>
      </c>
      <c r="AC56" s="64">
        <f>G56*AB56/18*10</f>
        <v>3932.6666666666665</v>
      </c>
      <c r="AD56" s="10"/>
      <c r="AE56" s="10"/>
      <c r="AF56" s="10"/>
      <c r="AG56" s="10"/>
      <c r="AH56" s="10"/>
      <c r="AI56" s="10"/>
      <c r="AJ56" s="83"/>
      <c r="AK56" s="48"/>
      <c r="AL56" s="79"/>
      <c r="AM56" s="48"/>
      <c r="AN56" s="48"/>
      <c r="AO56" s="48"/>
      <c r="AP56" s="83"/>
      <c r="AQ56" s="10"/>
      <c r="AR56" s="10"/>
      <c r="AS56" s="80">
        <v>0.3</v>
      </c>
      <c r="AT56" s="49">
        <v>18</v>
      </c>
      <c r="AU56" s="71">
        <f t="shared" si="1"/>
        <v>43136.4375</v>
      </c>
      <c r="AV56" s="80">
        <v>0.1</v>
      </c>
      <c r="AW56" s="71">
        <f t="shared" si="8"/>
        <v>14378.812500000004</v>
      </c>
      <c r="AX56" s="64">
        <f t="shared" si="9"/>
        <v>214084.54166666669</v>
      </c>
      <c r="AY56" s="71">
        <f t="shared" si="10"/>
        <v>143788.12500000003</v>
      </c>
      <c r="AZ56" s="64">
        <f t="shared" si="11"/>
        <v>2569014.5</v>
      </c>
      <c r="BA56" s="5"/>
      <c r="BB56" s="5"/>
    </row>
    <row r="57" spans="1:54" ht="15.75" customHeight="1">
      <c r="A57" s="5">
        <v>51</v>
      </c>
      <c r="B57" s="22" t="s">
        <v>94</v>
      </c>
      <c r="C57" s="22" t="s">
        <v>127</v>
      </c>
      <c r="D57" s="36" t="s">
        <v>191</v>
      </c>
      <c r="E57" s="43" t="s">
        <v>233</v>
      </c>
      <c r="F57" s="33" t="s">
        <v>249</v>
      </c>
      <c r="G57" s="72">
        <v>17697</v>
      </c>
      <c r="H57" s="49">
        <v>19</v>
      </c>
      <c r="I57" s="51"/>
      <c r="J57" s="49"/>
      <c r="K57" s="57">
        <v>4.99</v>
      </c>
      <c r="L57" s="57"/>
      <c r="M57" s="65">
        <f t="shared" si="2"/>
        <v>93214.031666666677</v>
      </c>
      <c r="N57" s="65">
        <f t="shared" si="3"/>
        <v>0</v>
      </c>
      <c r="O57" s="65">
        <f t="shared" si="4"/>
        <v>116517.53958333335</v>
      </c>
      <c r="P57" s="65">
        <f t="shared" si="5"/>
        <v>29129.384895833336</v>
      </c>
      <c r="Q57" s="65">
        <f t="shared" si="6"/>
        <v>145646.92447916669</v>
      </c>
      <c r="R57" s="64">
        <f t="shared" si="7"/>
        <v>71433.203125</v>
      </c>
      <c r="S57" s="72"/>
      <c r="T57" s="72"/>
      <c r="U57" s="73"/>
      <c r="V57" s="73">
        <v>0.5</v>
      </c>
      <c r="W57" s="74">
        <f t="shared" si="12"/>
        <v>8848.5</v>
      </c>
      <c r="X57" s="10"/>
      <c r="Y57" s="10"/>
      <c r="Z57" s="66"/>
      <c r="AA57" s="10"/>
      <c r="AB57" s="77">
        <v>0.4</v>
      </c>
      <c r="AC57" s="64">
        <f>G57*AB57/18*11</f>
        <v>4325.9333333333334</v>
      </c>
      <c r="AD57" s="10"/>
      <c r="AE57" s="10"/>
      <c r="AF57" s="10"/>
      <c r="AG57" s="10"/>
      <c r="AH57" s="10"/>
      <c r="AI57" s="10"/>
      <c r="AJ57" s="82"/>
      <c r="AK57" s="48"/>
      <c r="AL57" s="79"/>
      <c r="AM57" s="77"/>
      <c r="AN57" s="48"/>
      <c r="AO57" s="77"/>
      <c r="AP57" s="82"/>
      <c r="AQ57" s="10"/>
      <c r="AR57" s="10"/>
      <c r="AS57" s="80">
        <v>0.3</v>
      </c>
      <c r="AT57" s="49">
        <v>19</v>
      </c>
      <c r="AU57" s="71">
        <f t="shared" si="1"/>
        <v>43694.077343750003</v>
      </c>
      <c r="AV57" s="80">
        <v>0.1</v>
      </c>
      <c r="AW57" s="71">
        <f t="shared" si="8"/>
        <v>14564.69244791667</v>
      </c>
      <c r="AX57" s="64">
        <f t="shared" si="9"/>
        <v>217080.12760416669</v>
      </c>
      <c r="AY57" s="71">
        <f t="shared" si="10"/>
        <v>145646.92447916669</v>
      </c>
      <c r="AZ57" s="64">
        <f t="shared" si="11"/>
        <v>2604961.53125</v>
      </c>
      <c r="BA57" s="5"/>
      <c r="BB57" s="5"/>
    </row>
    <row r="58" spans="1:54" ht="15.75" customHeight="1">
      <c r="A58" s="5">
        <v>52</v>
      </c>
      <c r="B58" s="22" t="s">
        <v>95</v>
      </c>
      <c r="C58" s="22" t="s">
        <v>127</v>
      </c>
      <c r="D58" s="36" t="s">
        <v>191</v>
      </c>
      <c r="E58" s="43" t="s">
        <v>234</v>
      </c>
      <c r="F58" s="33" t="s">
        <v>249</v>
      </c>
      <c r="G58" s="72">
        <v>17697</v>
      </c>
      <c r="H58" s="49">
        <v>19</v>
      </c>
      <c r="I58" s="51"/>
      <c r="J58" s="49"/>
      <c r="K58" s="57">
        <v>5.08</v>
      </c>
      <c r="L58" s="57"/>
      <c r="M58" s="65">
        <f t="shared" si="2"/>
        <v>94895.246666666673</v>
      </c>
      <c r="N58" s="65">
        <f t="shared" si="3"/>
        <v>0</v>
      </c>
      <c r="O58" s="65">
        <f t="shared" si="4"/>
        <v>118619.05833333335</v>
      </c>
      <c r="P58" s="65">
        <f t="shared" si="5"/>
        <v>29654.764583333337</v>
      </c>
      <c r="Q58" s="65">
        <f t="shared" si="6"/>
        <v>148273.82291666669</v>
      </c>
      <c r="R58" s="64">
        <f t="shared" si="7"/>
        <v>72483.962500000009</v>
      </c>
      <c r="S58" s="72"/>
      <c r="T58" s="72"/>
      <c r="U58" s="73"/>
      <c r="V58" s="73">
        <v>0.5</v>
      </c>
      <c r="W58" s="74">
        <f t="shared" si="12"/>
        <v>8848.5</v>
      </c>
      <c r="X58" s="10"/>
      <c r="Y58" s="10"/>
      <c r="Z58" s="66"/>
      <c r="AA58" s="10"/>
      <c r="AB58" s="77">
        <v>0.4</v>
      </c>
      <c r="AC58" s="64">
        <f>G58*AB58/18*11</f>
        <v>4325.9333333333334</v>
      </c>
      <c r="AD58" s="10"/>
      <c r="AE58" s="10"/>
      <c r="AF58" s="10"/>
      <c r="AG58" s="10"/>
      <c r="AH58" s="10"/>
      <c r="AI58" s="10"/>
      <c r="AJ58" s="83"/>
      <c r="AK58" s="48"/>
      <c r="AL58" s="79"/>
      <c r="AM58" s="48"/>
      <c r="AN58" s="48"/>
      <c r="AO58" s="48"/>
      <c r="AP58" s="83"/>
      <c r="AQ58" s="10"/>
      <c r="AR58" s="10"/>
      <c r="AS58" s="80">
        <v>0.3</v>
      </c>
      <c r="AT58" s="49">
        <v>19</v>
      </c>
      <c r="AU58" s="71">
        <f t="shared" si="1"/>
        <v>44482.146875000006</v>
      </c>
      <c r="AV58" s="80">
        <v>0.1</v>
      </c>
      <c r="AW58" s="71">
        <f t="shared" si="8"/>
        <v>14827.382291666669</v>
      </c>
      <c r="AX58" s="64">
        <f t="shared" si="9"/>
        <v>220757.78541666671</v>
      </c>
      <c r="AY58" s="71">
        <f t="shared" si="10"/>
        <v>148273.82291666669</v>
      </c>
      <c r="AZ58" s="64">
        <f t="shared" si="11"/>
        <v>2649093.4250000007</v>
      </c>
      <c r="BA58" s="5"/>
      <c r="BB58" s="5"/>
    </row>
    <row r="59" spans="1:54" ht="15.75" customHeight="1">
      <c r="A59" s="5">
        <v>53</v>
      </c>
      <c r="B59" s="19" t="s">
        <v>96</v>
      </c>
      <c r="C59" s="22" t="s">
        <v>127</v>
      </c>
      <c r="D59" s="39" t="s">
        <v>192</v>
      </c>
      <c r="E59" s="41" t="s">
        <v>235</v>
      </c>
      <c r="F59" s="33" t="s">
        <v>255</v>
      </c>
      <c r="G59" s="72">
        <v>17697</v>
      </c>
      <c r="H59" s="49">
        <v>19</v>
      </c>
      <c r="I59" s="51"/>
      <c r="J59" s="54"/>
      <c r="K59" s="57">
        <v>4.29</v>
      </c>
      <c r="L59" s="57"/>
      <c r="M59" s="65">
        <f t="shared" si="2"/>
        <v>80137.914999999994</v>
      </c>
      <c r="N59" s="65">
        <f t="shared" si="3"/>
        <v>0</v>
      </c>
      <c r="O59" s="65">
        <f t="shared" si="4"/>
        <v>100172.39374999999</v>
      </c>
      <c r="P59" s="65">
        <f t="shared" si="5"/>
        <v>25043.098437499997</v>
      </c>
      <c r="Q59" s="65">
        <f t="shared" si="6"/>
        <v>125215.49218749999</v>
      </c>
      <c r="R59" s="64">
        <f t="shared" si="7"/>
        <v>63260.630208333328</v>
      </c>
      <c r="S59" s="72"/>
      <c r="T59" s="72"/>
      <c r="U59" s="73"/>
      <c r="V59" s="73">
        <v>0.5</v>
      </c>
      <c r="W59" s="74">
        <f t="shared" si="12"/>
        <v>8848.5</v>
      </c>
      <c r="X59" s="10"/>
      <c r="Y59" s="10"/>
      <c r="Z59" s="66"/>
      <c r="AA59" s="10"/>
      <c r="AB59" s="77">
        <v>0.4</v>
      </c>
      <c r="AC59" s="64">
        <f>G59*AB59/18*11</f>
        <v>4325.9333333333334</v>
      </c>
      <c r="AD59" s="10"/>
      <c r="AE59" s="10"/>
      <c r="AF59" s="10"/>
      <c r="AG59" s="10"/>
      <c r="AH59" s="10"/>
      <c r="AI59" s="10"/>
      <c r="AJ59" s="70"/>
      <c r="AK59" s="48"/>
      <c r="AL59" s="79"/>
      <c r="AM59" s="77"/>
      <c r="AN59" s="48"/>
      <c r="AO59" s="77"/>
      <c r="AP59" s="70"/>
      <c r="AQ59" s="10"/>
      <c r="AR59" s="10"/>
      <c r="AS59" s="80">
        <v>0.3</v>
      </c>
      <c r="AT59" s="49">
        <v>19</v>
      </c>
      <c r="AU59" s="71">
        <f t="shared" si="1"/>
        <v>37564.647656249996</v>
      </c>
      <c r="AV59" s="80">
        <v>0.1</v>
      </c>
      <c r="AW59" s="71">
        <f t="shared" si="8"/>
        <v>12521.549218749999</v>
      </c>
      <c r="AX59" s="64">
        <f t="shared" si="9"/>
        <v>188476.12239583331</v>
      </c>
      <c r="AY59" s="71">
        <f t="shared" si="10"/>
        <v>125215.49218749999</v>
      </c>
      <c r="AZ59" s="64">
        <f t="shared" si="11"/>
        <v>2261713.46875</v>
      </c>
      <c r="BA59" s="5"/>
      <c r="BB59" s="5"/>
    </row>
    <row r="60" spans="1:54" ht="15.75" customHeight="1">
      <c r="A60" s="5">
        <v>54</v>
      </c>
      <c r="B60" s="19" t="s">
        <v>97</v>
      </c>
      <c r="C60" s="22" t="s">
        <v>127</v>
      </c>
      <c r="D60" s="36" t="s">
        <v>191</v>
      </c>
      <c r="E60" s="41" t="s">
        <v>196</v>
      </c>
      <c r="F60" s="33" t="s">
        <v>247</v>
      </c>
      <c r="G60" s="72">
        <v>17697</v>
      </c>
      <c r="H60" s="49">
        <v>19</v>
      </c>
      <c r="I60" s="51"/>
      <c r="J60" s="54"/>
      <c r="K60" s="57">
        <v>5.2</v>
      </c>
      <c r="L60" s="57"/>
      <c r="M60" s="65">
        <f t="shared" si="2"/>
        <v>97136.866666666669</v>
      </c>
      <c r="N60" s="65">
        <f t="shared" si="3"/>
        <v>0</v>
      </c>
      <c r="O60" s="65">
        <f t="shared" si="4"/>
        <v>121421.08333333334</v>
      </c>
      <c r="P60" s="65">
        <f t="shared" si="5"/>
        <v>30355.270833333336</v>
      </c>
      <c r="Q60" s="65">
        <f t="shared" si="6"/>
        <v>151776.35416666669</v>
      </c>
      <c r="R60" s="64">
        <f t="shared" si="7"/>
        <v>74278.241666666683</v>
      </c>
      <c r="S60" s="72"/>
      <c r="T60" s="72"/>
      <c r="U60" s="73"/>
      <c r="V60" s="73">
        <v>0.5</v>
      </c>
      <c r="W60" s="74">
        <f t="shared" si="12"/>
        <v>8848.5</v>
      </c>
      <c r="X60" s="10"/>
      <c r="Y60" s="10"/>
      <c r="Z60" s="66"/>
      <c r="AA60" s="10"/>
      <c r="AB60" s="77">
        <v>0.4</v>
      </c>
      <c r="AC60" s="64">
        <f>G60*AB60/18*12</f>
        <v>4719.2</v>
      </c>
      <c r="AD60" s="10"/>
      <c r="AE60" s="10"/>
      <c r="AF60" s="10"/>
      <c r="AG60" s="10"/>
      <c r="AH60" s="10"/>
      <c r="AI60" s="10"/>
      <c r="AJ60" s="70"/>
      <c r="AK60" s="48"/>
      <c r="AL60" s="79"/>
      <c r="AM60" s="77"/>
      <c r="AN60" s="48"/>
      <c r="AO60" s="77"/>
      <c r="AP60" s="70"/>
      <c r="AQ60" s="10"/>
      <c r="AR60" s="10"/>
      <c r="AS60" s="80">
        <v>0.3</v>
      </c>
      <c r="AT60" s="49">
        <v>19</v>
      </c>
      <c r="AU60" s="71">
        <f t="shared" si="1"/>
        <v>45532.906250000007</v>
      </c>
      <c r="AV60" s="80">
        <v>0.1</v>
      </c>
      <c r="AW60" s="71">
        <f t="shared" si="8"/>
        <v>15177.63541666667</v>
      </c>
      <c r="AX60" s="64">
        <f t="shared" si="9"/>
        <v>226054.59583333338</v>
      </c>
      <c r="AY60" s="71">
        <f t="shared" si="10"/>
        <v>151776.35416666669</v>
      </c>
      <c r="AZ60" s="64">
        <f t="shared" si="11"/>
        <v>2712655.1500000004</v>
      </c>
      <c r="BA60" s="5"/>
      <c r="BB60" s="5"/>
    </row>
    <row r="61" spans="1:54" ht="15.75" customHeight="1">
      <c r="A61" s="5">
        <v>55</v>
      </c>
      <c r="B61" s="19" t="s">
        <v>98</v>
      </c>
      <c r="C61" s="22" t="s">
        <v>127</v>
      </c>
      <c r="D61" s="37" t="s">
        <v>191</v>
      </c>
      <c r="E61" s="43" t="s">
        <v>236</v>
      </c>
      <c r="F61" s="33" t="s">
        <v>247</v>
      </c>
      <c r="G61" s="72">
        <v>17697</v>
      </c>
      <c r="H61" s="49">
        <v>19</v>
      </c>
      <c r="I61" s="51"/>
      <c r="J61" s="49"/>
      <c r="K61" s="57">
        <v>5.2</v>
      </c>
      <c r="L61" s="57"/>
      <c r="M61" s="65">
        <f t="shared" si="2"/>
        <v>97136.866666666669</v>
      </c>
      <c r="N61" s="65">
        <f t="shared" si="3"/>
        <v>0</v>
      </c>
      <c r="O61" s="65">
        <f t="shared" si="4"/>
        <v>121421.08333333334</v>
      </c>
      <c r="P61" s="65">
        <f t="shared" si="5"/>
        <v>30355.270833333336</v>
      </c>
      <c r="Q61" s="65">
        <f t="shared" si="6"/>
        <v>151776.35416666669</v>
      </c>
      <c r="R61" s="64">
        <f t="shared" si="7"/>
        <v>78210.919444444458</v>
      </c>
      <c r="S61" s="72"/>
      <c r="T61" s="72"/>
      <c r="U61" s="73"/>
      <c r="V61" s="73">
        <v>0.5</v>
      </c>
      <c r="W61" s="74">
        <f t="shared" si="12"/>
        <v>8848.5</v>
      </c>
      <c r="X61" s="10"/>
      <c r="Y61" s="10"/>
      <c r="Z61" s="66">
        <v>0.2</v>
      </c>
      <c r="AA61" s="71">
        <f>G61*Z61</f>
        <v>3539.4</v>
      </c>
      <c r="AB61" s="77">
        <v>0.4</v>
      </c>
      <c r="AC61" s="64">
        <f>G61*AB61/18*12</f>
        <v>4719.2</v>
      </c>
      <c r="AD61" s="10"/>
      <c r="AE61" s="10"/>
      <c r="AF61" s="10"/>
      <c r="AG61" s="10"/>
      <c r="AH61" s="10"/>
      <c r="AI61" s="10"/>
      <c r="AJ61" s="66">
        <v>0.4</v>
      </c>
      <c r="AK61" s="48">
        <v>19</v>
      </c>
      <c r="AL61" s="79">
        <v>1</v>
      </c>
      <c r="AM61" s="81">
        <f>7079/18*AK61/19*1</f>
        <v>393.27777777777777</v>
      </c>
      <c r="AN61" s="48"/>
      <c r="AO61" s="81"/>
      <c r="AP61" s="66"/>
      <c r="AQ61" s="10"/>
      <c r="AR61" s="10"/>
      <c r="AS61" s="80">
        <v>0.3</v>
      </c>
      <c r="AT61" s="49">
        <v>19</v>
      </c>
      <c r="AU61" s="71">
        <f t="shared" si="1"/>
        <v>45532.906250000007</v>
      </c>
      <c r="AV61" s="80">
        <v>0.1</v>
      </c>
      <c r="AW61" s="71">
        <f t="shared" si="8"/>
        <v>15177.63541666667</v>
      </c>
      <c r="AX61" s="64">
        <f t="shared" si="9"/>
        <v>229987.27361111116</v>
      </c>
      <c r="AY61" s="71">
        <f t="shared" si="10"/>
        <v>151776.35416666669</v>
      </c>
      <c r="AZ61" s="64">
        <f t="shared" si="11"/>
        <v>2759847.2833333341</v>
      </c>
      <c r="BA61" s="5"/>
      <c r="BB61" s="5"/>
    </row>
    <row r="62" spans="1:54" ht="15.75" customHeight="1">
      <c r="A62" s="5">
        <v>56</v>
      </c>
      <c r="B62" s="19" t="s">
        <v>99</v>
      </c>
      <c r="C62" s="22" t="s">
        <v>127</v>
      </c>
      <c r="D62" s="37" t="s">
        <v>191</v>
      </c>
      <c r="E62" s="43" t="s">
        <v>236</v>
      </c>
      <c r="F62" s="33" t="s">
        <v>247</v>
      </c>
      <c r="G62" s="72">
        <v>17697</v>
      </c>
      <c r="H62" s="49">
        <v>19</v>
      </c>
      <c r="I62" s="51"/>
      <c r="J62" s="49"/>
      <c r="K62" s="57">
        <v>5.2</v>
      </c>
      <c r="L62" s="57"/>
      <c r="M62" s="65">
        <f t="shared" si="2"/>
        <v>97136.866666666669</v>
      </c>
      <c r="N62" s="65">
        <f t="shared" si="3"/>
        <v>0</v>
      </c>
      <c r="O62" s="65">
        <f t="shared" si="4"/>
        <v>121421.08333333334</v>
      </c>
      <c r="P62" s="65">
        <f t="shared" si="5"/>
        <v>30355.270833333336</v>
      </c>
      <c r="Q62" s="65">
        <f t="shared" si="6"/>
        <v>151776.35416666669</v>
      </c>
      <c r="R62" s="64">
        <f t="shared" si="7"/>
        <v>77817.641666666677</v>
      </c>
      <c r="S62" s="72"/>
      <c r="T62" s="72"/>
      <c r="U62" s="73"/>
      <c r="V62" s="73">
        <v>0.5</v>
      </c>
      <c r="W62" s="74">
        <f t="shared" si="12"/>
        <v>8848.5</v>
      </c>
      <c r="X62" s="10"/>
      <c r="Y62" s="10"/>
      <c r="Z62" s="66">
        <v>0.2</v>
      </c>
      <c r="AA62" s="71">
        <f>G62*Z62</f>
        <v>3539.4</v>
      </c>
      <c r="AB62" s="77">
        <v>0.4</v>
      </c>
      <c r="AC62" s="64">
        <f>G62*AB62/18*12</f>
        <v>4719.2</v>
      </c>
      <c r="AD62" s="10"/>
      <c r="AE62" s="10"/>
      <c r="AF62" s="10"/>
      <c r="AG62" s="10"/>
      <c r="AH62" s="10"/>
      <c r="AI62" s="10"/>
      <c r="AJ62" s="83"/>
      <c r="AK62" s="48"/>
      <c r="AL62" s="79"/>
      <c r="AM62" s="48"/>
      <c r="AN62" s="48"/>
      <c r="AO62" s="48"/>
      <c r="AP62" s="83"/>
      <c r="AQ62" s="10"/>
      <c r="AR62" s="10"/>
      <c r="AS62" s="80">
        <v>0.3</v>
      </c>
      <c r="AT62" s="49">
        <v>19</v>
      </c>
      <c r="AU62" s="71">
        <f t="shared" si="1"/>
        <v>45532.906250000007</v>
      </c>
      <c r="AV62" s="80">
        <v>0.1</v>
      </c>
      <c r="AW62" s="71">
        <f t="shared" si="8"/>
        <v>15177.63541666667</v>
      </c>
      <c r="AX62" s="64">
        <f t="shared" si="9"/>
        <v>229593.99583333335</v>
      </c>
      <c r="AY62" s="71">
        <f t="shared" si="10"/>
        <v>151776.35416666669</v>
      </c>
      <c r="AZ62" s="64">
        <f t="shared" si="11"/>
        <v>2755127.95</v>
      </c>
      <c r="BA62" s="5"/>
      <c r="BB62" s="5"/>
    </row>
    <row r="63" spans="1:54" ht="15.75" customHeight="1">
      <c r="A63" s="5">
        <v>57</v>
      </c>
      <c r="B63" s="19" t="s">
        <v>100</v>
      </c>
      <c r="C63" s="22" t="s">
        <v>127</v>
      </c>
      <c r="D63" s="37" t="s">
        <v>191</v>
      </c>
      <c r="E63" s="43" t="s">
        <v>236</v>
      </c>
      <c r="F63" s="33" t="s">
        <v>247</v>
      </c>
      <c r="G63" s="72">
        <v>17697</v>
      </c>
      <c r="H63" s="49">
        <v>19</v>
      </c>
      <c r="I63" s="51"/>
      <c r="J63" s="49"/>
      <c r="K63" s="57">
        <v>5.2</v>
      </c>
      <c r="L63" s="57"/>
      <c r="M63" s="65">
        <f t="shared" si="2"/>
        <v>97136.866666666669</v>
      </c>
      <c r="N63" s="65">
        <f t="shared" si="3"/>
        <v>0</v>
      </c>
      <c r="O63" s="65">
        <f t="shared" si="4"/>
        <v>121421.08333333334</v>
      </c>
      <c r="P63" s="65">
        <f t="shared" si="5"/>
        <v>30355.270833333336</v>
      </c>
      <c r="Q63" s="65">
        <f t="shared" si="6"/>
        <v>151776.35416666669</v>
      </c>
      <c r="R63" s="64">
        <f t="shared" si="7"/>
        <v>74278.241666666683</v>
      </c>
      <c r="S63" s="72"/>
      <c r="T63" s="72"/>
      <c r="U63" s="73"/>
      <c r="V63" s="73">
        <v>0.5</v>
      </c>
      <c r="W63" s="74">
        <f t="shared" si="12"/>
        <v>8848.5</v>
      </c>
      <c r="X63" s="10"/>
      <c r="Y63" s="10"/>
      <c r="Z63" s="66"/>
      <c r="AA63" s="10"/>
      <c r="AB63" s="77">
        <v>0.4</v>
      </c>
      <c r="AC63" s="64">
        <f>G63*AB63/18*12</f>
        <v>4719.2</v>
      </c>
      <c r="AD63" s="10"/>
      <c r="AE63" s="10"/>
      <c r="AF63" s="10"/>
      <c r="AG63" s="10"/>
      <c r="AH63" s="10"/>
      <c r="AI63" s="10"/>
      <c r="AJ63" s="82"/>
      <c r="AK63" s="48"/>
      <c r="AL63" s="79"/>
      <c r="AM63" s="77"/>
      <c r="AN63" s="48"/>
      <c r="AO63" s="77"/>
      <c r="AP63" s="82"/>
      <c r="AQ63" s="10"/>
      <c r="AR63" s="10"/>
      <c r="AS63" s="80">
        <v>0.3</v>
      </c>
      <c r="AT63" s="49">
        <v>19</v>
      </c>
      <c r="AU63" s="71">
        <f t="shared" si="1"/>
        <v>45532.906250000007</v>
      </c>
      <c r="AV63" s="80">
        <v>0.1</v>
      </c>
      <c r="AW63" s="71">
        <f t="shared" si="8"/>
        <v>15177.63541666667</v>
      </c>
      <c r="AX63" s="64">
        <f t="shared" si="9"/>
        <v>226054.59583333338</v>
      </c>
      <c r="AY63" s="71">
        <f t="shared" si="10"/>
        <v>151776.35416666669</v>
      </c>
      <c r="AZ63" s="64">
        <f t="shared" si="11"/>
        <v>2712655.1500000004</v>
      </c>
      <c r="BA63" s="5"/>
      <c r="BB63" s="5"/>
    </row>
    <row r="64" spans="1:54" ht="15.75" customHeight="1">
      <c r="A64" s="5">
        <v>58</v>
      </c>
      <c r="B64" s="19" t="s">
        <v>101</v>
      </c>
      <c r="C64" s="22" t="s">
        <v>127</v>
      </c>
      <c r="D64" s="36" t="s">
        <v>191</v>
      </c>
      <c r="E64" s="43" t="s">
        <v>206</v>
      </c>
      <c r="F64" s="33" t="s">
        <v>247</v>
      </c>
      <c r="G64" s="72">
        <v>17697</v>
      </c>
      <c r="H64" s="49">
        <v>19</v>
      </c>
      <c r="I64" s="51"/>
      <c r="J64" s="49"/>
      <c r="K64" s="57">
        <v>5.2</v>
      </c>
      <c r="L64" s="61"/>
      <c r="M64" s="65">
        <f t="shared" si="2"/>
        <v>97136.866666666669</v>
      </c>
      <c r="N64" s="65">
        <f t="shared" si="3"/>
        <v>0</v>
      </c>
      <c r="O64" s="65">
        <f t="shared" si="4"/>
        <v>121421.08333333334</v>
      </c>
      <c r="P64" s="65">
        <f t="shared" si="5"/>
        <v>30355.270833333336</v>
      </c>
      <c r="Q64" s="65">
        <f t="shared" si="6"/>
        <v>151776.35416666669</v>
      </c>
      <c r="R64" s="64">
        <f t="shared" si="7"/>
        <v>74278.241666666683</v>
      </c>
      <c r="S64" s="72"/>
      <c r="T64" s="72"/>
      <c r="U64" s="73"/>
      <c r="V64" s="73">
        <v>0.5</v>
      </c>
      <c r="W64" s="74">
        <f t="shared" si="12"/>
        <v>8848.5</v>
      </c>
      <c r="X64" s="10"/>
      <c r="Y64" s="10"/>
      <c r="Z64" s="66"/>
      <c r="AA64" s="10"/>
      <c r="AB64" s="77">
        <v>0.4</v>
      </c>
      <c r="AC64" s="64">
        <f>G64*AB64/18*12</f>
        <v>4719.2</v>
      </c>
      <c r="AD64" s="10"/>
      <c r="AE64" s="10"/>
      <c r="AF64" s="10"/>
      <c r="AG64" s="10"/>
      <c r="AH64" s="10"/>
      <c r="AI64" s="10"/>
      <c r="AJ64" s="70"/>
      <c r="AK64" s="48"/>
      <c r="AL64" s="79"/>
      <c r="AM64" s="77"/>
      <c r="AN64" s="48"/>
      <c r="AO64" s="77"/>
      <c r="AP64" s="70"/>
      <c r="AQ64" s="10"/>
      <c r="AR64" s="10"/>
      <c r="AS64" s="80">
        <v>0.3</v>
      </c>
      <c r="AT64" s="49">
        <v>19</v>
      </c>
      <c r="AU64" s="71">
        <f t="shared" si="1"/>
        <v>45532.906250000007</v>
      </c>
      <c r="AV64" s="80">
        <v>0.1</v>
      </c>
      <c r="AW64" s="71">
        <f t="shared" si="8"/>
        <v>15177.63541666667</v>
      </c>
      <c r="AX64" s="64">
        <f t="shared" si="9"/>
        <v>226054.59583333338</v>
      </c>
      <c r="AY64" s="71">
        <f t="shared" si="10"/>
        <v>151776.35416666669</v>
      </c>
      <c r="AZ64" s="64">
        <f t="shared" si="11"/>
        <v>2712655.1500000004</v>
      </c>
      <c r="BA64" s="5"/>
      <c r="BB64" s="5"/>
    </row>
    <row r="65" spans="1:54" ht="15.75" customHeight="1">
      <c r="A65" s="5">
        <v>59</v>
      </c>
      <c r="B65" s="18" t="s">
        <v>102</v>
      </c>
      <c r="C65" s="22" t="s">
        <v>127</v>
      </c>
      <c r="D65" s="39" t="s">
        <v>192</v>
      </c>
      <c r="E65" s="43" t="s">
        <v>230</v>
      </c>
      <c r="F65" s="33" t="s">
        <v>256</v>
      </c>
      <c r="G65" s="72">
        <v>17697</v>
      </c>
      <c r="H65" s="49">
        <v>18</v>
      </c>
      <c r="I65" s="51"/>
      <c r="J65" s="49"/>
      <c r="K65" s="57">
        <v>3.36</v>
      </c>
      <c r="L65" s="57"/>
      <c r="M65" s="65">
        <f t="shared" si="2"/>
        <v>59461.919999999998</v>
      </c>
      <c r="N65" s="65">
        <f t="shared" si="3"/>
        <v>0</v>
      </c>
      <c r="O65" s="65">
        <f t="shared" si="4"/>
        <v>74327.399999999994</v>
      </c>
      <c r="P65" s="65">
        <f t="shared" si="5"/>
        <v>18581.849999999999</v>
      </c>
      <c r="Q65" s="65">
        <f t="shared" si="6"/>
        <v>92909.25</v>
      </c>
      <c r="R65" s="64">
        <f t="shared" si="7"/>
        <v>44242.5</v>
      </c>
      <c r="S65" s="72">
        <v>18</v>
      </c>
      <c r="T65" s="72">
        <f>G65*U65/18*S65</f>
        <v>7078.7999999999993</v>
      </c>
      <c r="U65" s="73">
        <v>0.4</v>
      </c>
      <c r="V65" s="73"/>
      <c r="W65" s="74"/>
      <c r="X65" s="10"/>
      <c r="Y65" s="10"/>
      <c r="Z65" s="66"/>
      <c r="AA65" s="10"/>
      <c r="AB65" s="77"/>
      <c r="AC65" s="69"/>
      <c r="AD65" s="10"/>
      <c r="AE65" s="10"/>
      <c r="AF65" s="10"/>
      <c r="AG65" s="10"/>
      <c r="AH65" s="10"/>
      <c r="AI65" s="10"/>
      <c r="AJ65" s="83"/>
      <c r="AK65" s="48"/>
      <c r="AL65" s="79"/>
      <c r="AM65" s="48"/>
      <c r="AN65" s="48"/>
      <c r="AO65" s="48"/>
      <c r="AP65" s="83"/>
      <c r="AQ65" s="10"/>
      <c r="AR65" s="10"/>
      <c r="AS65" s="80">
        <v>0.3</v>
      </c>
      <c r="AT65" s="49">
        <v>18</v>
      </c>
      <c r="AU65" s="71">
        <f t="shared" si="1"/>
        <v>27872.774999999998</v>
      </c>
      <c r="AV65" s="80">
        <v>0.1</v>
      </c>
      <c r="AW65" s="71">
        <f t="shared" si="8"/>
        <v>9290.9250000000011</v>
      </c>
      <c r="AX65" s="64">
        <f t="shared" si="9"/>
        <v>137151.75</v>
      </c>
      <c r="AY65" s="71">
        <f t="shared" si="10"/>
        <v>92909.25</v>
      </c>
      <c r="AZ65" s="64">
        <f t="shared" si="11"/>
        <v>1645821</v>
      </c>
      <c r="BA65" s="5"/>
      <c r="BB65" s="5"/>
    </row>
    <row r="66" spans="1:54" ht="15.75" customHeight="1">
      <c r="A66" s="5">
        <v>60</v>
      </c>
      <c r="B66" s="19" t="s">
        <v>103</v>
      </c>
      <c r="C66" s="22" t="s">
        <v>128</v>
      </c>
      <c r="D66" s="39" t="s">
        <v>192</v>
      </c>
      <c r="E66" s="43" t="s">
        <v>237</v>
      </c>
      <c r="F66" s="33" t="s">
        <v>257</v>
      </c>
      <c r="G66" s="72">
        <v>17697</v>
      </c>
      <c r="H66" s="49"/>
      <c r="I66" s="51">
        <v>16</v>
      </c>
      <c r="J66" s="49">
        <v>1</v>
      </c>
      <c r="K66" s="57"/>
      <c r="L66" s="57">
        <v>4.3899999999999997</v>
      </c>
      <c r="M66" s="65">
        <f t="shared" si="2"/>
        <v>0</v>
      </c>
      <c r="N66" s="65">
        <f t="shared" si="3"/>
        <v>77689.829999999987</v>
      </c>
      <c r="O66" s="65">
        <f t="shared" si="4"/>
        <v>97112.287499999977</v>
      </c>
      <c r="P66" s="65">
        <f t="shared" si="5"/>
        <v>24278.071874999994</v>
      </c>
      <c r="Q66" s="65">
        <f t="shared" si="6"/>
        <v>121390.35937499997</v>
      </c>
      <c r="R66" s="64">
        <f t="shared" si="7"/>
        <v>12139.035937499997</v>
      </c>
      <c r="S66" s="72"/>
      <c r="T66" s="72"/>
      <c r="U66" s="73"/>
      <c r="V66" s="73"/>
      <c r="W66" s="74"/>
      <c r="X66" s="10"/>
      <c r="Y66" s="10"/>
      <c r="Z66" s="66"/>
      <c r="AA66" s="10"/>
      <c r="AB66" s="77"/>
      <c r="AC66" s="69"/>
      <c r="AD66" s="10"/>
      <c r="AE66" s="10"/>
      <c r="AF66" s="10"/>
      <c r="AG66" s="10"/>
      <c r="AH66" s="10"/>
      <c r="AI66" s="10"/>
      <c r="AJ66" s="70"/>
      <c r="AK66" s="48"/>
      <c r="AL66" s="79"/>
      <c r="AM66" s="77"/>
      <c r="AN66" s="48"/>
      <c r="AO66" s="77"/>
      <c r="AP66" s="70"/>
      <c r="AQ66" s="10"/>
      <c r="AR66" s="10"/>
      <c r="AS66" s="80">
        <v>0.3</v>
      </c>
      <c r="AT66" s="49"/>
      <c r="AU66" s="71">
        <f t="shared" si="1"/>
        <v>0</v>
      </c>
      <c r="AV66" s="80">
        <v>0.1</v>
      </c>
      <c r="AW66" s="71">
        <f t="shared" si="8"/>
        <v>12139.035937499997</v>
      </c>
      <c r="AX66" s="64">
        <f t="shared" si="9"/>
        <v>133529.39531249995</v>
      </c>
      <c r="AY66" s="71">
        <f t="shared" si="10"/>
        <v>121390.35937499997</v>
      </c>
      <c r="AZ66" s="64">
        <f t="shared" si="11"/>
        <v>1602352.7437499994</v>
      </c>
      <c r="BA66" s="5"/>
      <c r="BB66" s="5"/>
    </row>
    <row r="67" spans="1:54" ht="15.75" customHeight="1">
      <c r="A67" s="5">
        <v>61</v>
      </c>
      <c r="B67" s="19" t="s">
        <v>104</v>
      </c>
      <c r="C67" s="22" t="s">
        <v>128</v>
      </c>
      <c r="D67" s="37" t="s">
        <v>191</v>
      </c>
      <c r="E67" s="43" t="s">
        <v>238</v>
      </c>
      <c r="F67" s="33" t="s">
        <v>258</v>
      </c>
      <c r="G67" s="72">
        <v>17697</v>
      </c>
      <c r="H67" s="49"/>
      <c r="I67" s="51">
        <v>16</v>
      </c>
      <c r="J67" s="49">
        <v>1</v>
      </c>
      <c r="K67" s="57"/>
      <c r="L67" s="57">
        <v>4.3600000000000003</v>
      </c>
      <c r="M67" s="65">
        <f t="shared" si="2"/>
        <v>0</v>
      </c>
      <c r="N67" s="65">
        <f t="shared" si="3"/>
        <v>77158.920000000013</v>
      </c>
      <c r="O67" s="65">
        <f t="shared" si="4"/>
        <v>96448.650000000023</v>
      </c>
      <c r="P67" s="65">
        <f t="shared" si="5"/>
        <v>24112.162500000006</v>
      </c>
      <c r="Q67" s="65">
        <f t="shared" si="6"/>
        <v>120560.81250000003</v>
      </c>
      <c r="R67" s="64">
        <f t="shared" si="7"/>
        <v>12056.081250000003</v>
      </c>
      <c r="S67" s="72"/>
      <c r="T67" s="72"/>
      <c r="U67" s="73"/>
      <c r="V67" s="74"/>
      <c r="W67" s="74"/>
      <c r="X67" s="10"/>
      <c r="Y67" s="10"/>
      <c r="Z67" s="66"/>
      <c r="AA67" s="10"/>
      <c r="AB67" s="77"/>
      <c r="AC67" s="69"/>
      <c r="AD67" s="10"/>
      <c r="AE67" s="10"/>
      <c r="AF67" s="10"/>
      <c r="AG67" s="10"/>
      <c r="AH67" s="10"/>
      <c r="AI67" s="10"/>
      <c r="AJ67" s="83"/>
      <c r="AK67" s="48"/>
      <c r="AL67" s="79"/>
      <c r="AM67" s="48"/>
      <c r="AN67" s="48"/>
      <c r="AO67" s="48"/>
      <c r="AP67" s="83"/>
      <c r="AQ67" s="10"/>
      <c r="AR67" s="10"/>
      <c r="AS67" s="80">
        <v>0.3</v>
      </c>
      <c r="AT67" s="49"/>
      <c r="AU67" s="71">
        <f t="shared" si="1"/>
        <v>0</v>
      </c>
      <c r="AV67" s="80">
        <v>0.1</v>
      </c>
      <c r="AW67" s="71">
        <f t="shared" si="8"/>
        <v>12056.081250000003</v>
      </c>
      <c r="AX67" s="64">
        <f t="shared" si="9"/>
        <v>132616.89375000005</v>
      </c>
      <c r="AY67" s="71">
        <f t="shared" si="10"/>
        <v>120560.81250000003</v>
      </c>
      <c r="AZ67" s="64">
        <f t="shared" si="11"/>
        <v>1591402.7250000006</v>
      </c>
      <c r="BA67" s="5"/>
      <c r="BB67" s="5"/>
    </row>
    <row r="68" spans="1:54" ht="15.75" customHeight="1">
      <c r="A68" s="5">
        <v>62</v>
      </c>
      <c r="B68" s="19" t="s">
        <v>105</v>
      </c>
      <c r="C68" s="22" t="s">
        <v>129</v>
      </c>
      <c r="D68" s="36" t="s">
        <v>191</v>
      </c>
      <c r="E68" s="43" t="s">
        <v>239</v>
      </c>
      <c r="F68" s="33" t="s">
        <v>258</v>
      </c>
      <c r="G68" s="72">
        <v>17697</v>
      </c>
      <c r="H68" s="49"/>
      <c r="I68" s="51">
        <v>11.5</v>
      </c>
      <c r="J68" s="49">
        <v>1</v>
      </c>
      <c r="K68" s="57"/>
      <c r="L68" s="57">
        <v>4.5</v>
      </c>
      <c r="M68" s="65">
        <f t="shared" si="2"/>
        <v>0</v>
      </c>
      <c r="N68" s="65">
        <f t="shared" si="3"/>
        <v>79636.5</v>
      </c>
      <c r="O68" s="65">
        <f t="shared" si="4"/>
        <v>99545.625</v>
      </c>
      <c r="P68" s="65">
        <f t="shared" si="5"/>
        <v>24886.40625</v>
      </c>
      <c r="Q68" s="65">
        <f t="shared" si="6"/>
        <v>124432.03125</v>
      </c>
      <c r="R68" s="64">
        <f t="shared" si="7"/>
        <v>12443.203125</v>
      </c>
      <c r="S68" s="72"/>
      <c r="T68" s="72"/>
      <c r="U68" s="73"/>
      <c r="V68" s="73"/>
      <c r="W68" s="74"/>
      <c r="X68" s="10"/>
      <c r="Y68" s="10"/>
      <c r="Z68" s="66"/>
      <c r="AA68" s="10"/>
      <c r="AB68" s="77"/>
      <c r="AC68" s="69"/>
      <c r="AD68" s="10"/>
      <c r="AE68" s="10"/>
      <c r="AF68" s="10"/>
      <c r="AG68" s="10"/>
      <c r="AH68" s="10"/>
      <c r="AI68" s="10"/>
      <c r="AJ68" s="83"/>
      <c r="AK68" s="48"/>
      <c r="AL68" s="79"/>
      <c r="AM68" s="48"/>
      <c r="AN68" s="48"/>
      <c r="AO68" s="48"/>
      <c r="AP68" s="83"/>
      <c r="AQ68" s="10"/>
      <c r="AR68" s="10"/>
      <c r="AS68" s="80">
        <v>0.3</v>
      </c>
      <c r="AT68" s="49"/>
      <c r="AU68" s="71">
        <f t="shared" si="1"/>
        <v>0</v>
      </c>
      <c r="AV68" s="80">
        <v>0.1</v>
      </c>
      <c r="AW68" s="71">
        <f t="shared" si="8"/>
        <v>12443.203125</v>
      </c>
      <c r="AX68" s="64">
        <f t="shared" si="9"/>
        <v>136875.234375</v>
      </c>
      <c r="AY68" s="71">
        <f t="shared" si="10"/>
        <v>124432.03125</v>
      </c>
      <c r="AZ68" s="64">
        <f t="shared" si="11"/>
        <v>1642502.8125</v>
      </c>
      <c r="BA68" s="5"/>
      <c r="BB68" s="5"/>
    </row>
    <row r="69" spans="1:54" ht="15.75" customHeight="1">
      <c r="A69" s="5">
        <v>63</v>
      </c>
      <c r="B69" s="19" t="s">
        <v>106</v>
      </c>
      <c r="C69" s="22" t="s">
        <v>130</v>
      </c>
      <c r="D69" s="37" t="s">
        <v>191</v>
      </c>
      <c r="E69" s="43" t="s">
        <v>211</v>
      </c>
      <c r="F69" s="33" t="s">
        <v>250</v>
      </c>
      <c r="G69" s="72">
        <v>17697</v>
      </c>
      <c r="H69" s="49"/>
      <c r="I69" s="51"/>
      <c r="J69" s="49">
        <v>1</v>
      </c>
      <c r="K69" s="61"/>
      <c r="L69" s="61">
        <v>4.2300000000000004</v>
      </c>
      <c r="M69" s="65">
        <f t="shared" si="2"/>
        <v>0</v>
      </c>
      <c r="N69" s="65">
        <f t="shared" si="3"/>
        <v>74858.310000000012</v>
      </c>
      <c r="O69" s="65">
        <f t="shared" si="4"/>
        <v>93572.887500000012</v>
      </c>
      <c r="P69" s="65">
        <f t="shared" si="5"/>
        <v>23393.221875000003</v>
      </c>
      <c r="Q69" s="65">
        <f t="shared" si="6"/>
        <v>116966.10937500001</v>
      </c>
      <c r="R69" s="64">
        <f t="shared" si="7"/>
        <v>11696.610937500001</v>
      </c>
      <c r="S69" s="72"/>
      <c r="T69" s="72"/>
      <c r="U69" s="73"/>
      <c r="V69" s="73"/>
      <c r="W69" s="74"/>
      <c r="X69" s="10"/>
      <c r="Y69" s="10"/>
      <c r="Z69" s="66"/>
      <c r="AA69" s="10"/>
      <c r="AB69" s="77"/>
      <c r="AC69" s="69"/>
      <c r="AD69" s="10"/>
      <c r="AE69" s="10"/>
      <c r="AF69" s="10"/>
      <c r="AG69" s="10"/>
      <c r="AH69" s="10"/>
      <c r="AI69" s="10"/>
      <c r="AJ69" s="66"/>
      <c r="AK69" s="48"/>
      <c r="AL69" s="79"/>
      <c r="AM69" s="48"/>
      <c r="AN69" s="48"/>
      <c r="AO69" s="48"/>
      <c r="AP69" s="66"/>
      <c r="AQ69" s="10"/>
      <c r="AR69" s="10"/>
      <c r="AS69" s="80">
        <v>0.3</v>
      </c>
      <c r="AT69" s="49"/>
      <c r="AU69" s="71">
        <f t="shared" si="1"/>
        <v>0</v>
      </c>
      <c r="AV69" s="80">
        <v>0.1</v>
      </c>
      <c r="AW69" s="71">
        <f t="shared" si="8"/>
        <v>11696.610937500001</v>
      </c>
      <c r="AX69" s="64">
        <f t="shared" si="9"/>
        <v>128662.72031250002</v>
      </c>
      <c r="AY69" s="71">
        <f t="shared" si="10"/>
        <v>116966.10937500001</v>
      </c>
      <c r="AZ69" s="64">
        <f t="shared" si="11"/>
        <v>1543952.6437500003</v>
      </c>
      <c r="BA69" s="5"/>
      <c r="BB69" s="5"/>
    </row>
    <row r="70" spans="1:54" ht="15.75" customHeight="1">
      <c r="A70" s="5">
        <v>64</v>
      </c>
      <c r="B70" s="23" t="s">
        <v>107</v>
      </c>
      <c r="C70" s="22" t="s">
        <v>130</v>
      </c>
      <c r="D70" s="36" t="s">
        <v>191</v>
      </c>
      <c r="E70" s="43" t="s">
        <v>240</v>
      </c>
      <c r="F70" s="33" t="s">
        <v>249</v>
      </c>
      <c r="G70" s="72">
        <v>17697</v>
      </c>
      <c r="H70" s="49"/>
      <c r="I70" s="51"/>
      <c r="J70" s="55">
        <v>0.5</v>
      </c>
      <c r="K70" s="57">
        <v>4.74</v>
      </c>
      <c r="L70" s="57">
        <v>4.74</v>
      </c>
      <c r="M70" s="65">
        <f t="shared" si="2"/>
        <v>0</v>
      </c>
      <c r="N70" s="65">
        <f t="shared" si="3"/>
        <v>41941.89</v>
      </c>
      <c r="O70" s="65">
        <f t="shared" si="4"/>
        <v>52427.362500000003</v>
      </c>
      <c r="P70" s="65">
        <f t="shared" si="5"/>
        <v>13106.840625000001</v>
      </c>
      <c r="Q70" s="65">
        <f t="shared" si="6"/>
        <v>65534.203125</v>
      </c>
      <c r="R70" s="64">
        <f t="shared" si="7"/>
        <v>6553.4203125000004</v>
      </c>
      <c r="S70" s="72"/>
      <c r="T70" s="72"/>
      <c r="U70" s="73"/>
      <c r="V70" s="73"/>
      <c r="W70" s="74"/>
      <c r="X70" s="10"/>
      <c r="Y70" s="10"/>
      <c r="Z70" s="66"/>
      <c r="AA70" s="10"/>
      <c r="AB70" s="77"/>
      <c r="AC70" s="69"/>
      <c r="AD70" s="10"/>
      <c r="AE70" s="10"/>
      <c r="AF70" s="10"/>
      <c r="AG70" s="10"/>
      <c r="AH70" s="10"/>
      <c r="AI70" s="10"/>
      <c r="AJ70" s="70"/>
      <c r="AK70" s="48"/>
      <c r="AL70" s="79"/>
      <c r="AM70" s="77"/>
      <c r="AN70" s="48"/>
      <c r="AO70" s="77"/>
      <c r="AP70" s="70"/>
      <c r="AQ70" s="10"/>
      <c r="AR70" s="10"/>
      <c r="AS70" s="80">
        <v>0.3</v>
      </c>
      <c r="AT70" s="49"/>
      <c r="AU70" s="71">
        <f t="shared" si="1"/>
        <v>0</v>
      </c>
      <c r="AV70" s="80">
        <v>0.1</v>
      </c>
      <c r="AW70" s="71">
        <f t="shared" si="8"/>
        <v>6553.4203125000004</v>
      </c>
      <c r="AX70" s="64">
        <f t="shared" si="9"/>
        <v>72087.623437500006</v>
      </c>
      <c r="AY70" s="71">
        <f t="shared" si="10"/>
        <v>65534.203125</v>
      </c>
      <c r="AZ70" s="64">
        <f t="shared" si="11"/>
        <v>865051.48125000007</v>
      </c>
      <c r="BA70" s="5"/>
      <c r="BB70" s="5"/>
    </row>
    <row r="71" spans="1:54" ht="15.75" customHeight="1">
      <c r="A71" s="5">
        <v>65</v>
      </c>
      <c r="B71" s="19" t="s">
        <v>108</v>
      </c>
      <c r="C71" s="22" t="s">
        <v>131</v>
      </c>
      <c r="D71" s="36" t="s">
        <v>191</v>
      </c>
      <c r="E71" s="43" t="s">
        <v>203</v>
      </c>
      <c r="F71" s="46" t="s">
        <v>259</v>
      </c>
      <c r="G71" s="72">
        <v>17697</v>
      </c>
      <c r="H71" s="49"/>
      <c r="I71" s="51"/>
      <c r="J71" s="49">
        <v>1</v>
      </c>
      <c r="K71" s="57"/>
      <c r="L71" s="57">
        <v>4.6399999999999997</v>
      </c>
      <c r="M71" s="65">
        <f t="shared" si="2"/>
        <v>0</v>
      </c>
      <c r="N71" s="65">
        <f t="shared" si="3"/>
        <v>82114.079999999987</v>
      </c>
      <c r="O71" s="65">
        <f>(M71+N71)</f>
        <v>82114.079999999987</v>
      </c>
      <c r="P71" s="65">
        <f t="shared" si="5"/>
        <v>20528.519999999997</v>
      </c>
      <c r="Q71" s="65">
        <f t="shared" si="6"/>
        <v>102642.59999999998</v>
      </c>
      <c r="R71" s="64">
        <f t="shared" si="7"/>
        <v>15573.359999999997</v>
      </c>
      <c r="S71" s="72"/>
      <c r="T71" s="72"/>
      <c r="U71" s="73"/>
      <c r="V71" s="73"/>
      <c r="W71" s="74"/>
      <c r="X71" s="10"/>
      <c r="Y71" s="10"/>
      <c r="Z71" s="66"/>
      <c r="AA71" s="10"/>
      <c r="AB71" s="77"/>
      <c r="AC71" s="69"/>
      <c r="AD71" s="68">
        <v>0.3</v>
      </c>
      <c r="AE71" s="69">
        <f>G71*AD71</f>
        <v>5309.0999999999995</v>
      </c>
      <c r="AF71" s="10"/>
      <c r="AG71" s="10"/>
      <c r="AH71" s="10"/>
      <c r="AI71" s="10"/>
      <c r="AJ71" s="70"/>
      <c r="AK71" s="48"/>
      <c r="AL71" s="79"/>
      <c r="AM71" s="77"/>
      <c r="AN71" s="48"/>
      <c r="AO71" s="77"/>
      <c r="AP71" s="70"/>
      <c r="AQ71" s="10"/>
      <c r="AR71" s="10"/>
      <c r="AS71" s="80">
        <v>0.3</v>
      </c>
      <c r="AT71" s="49"/>
      <c r="AU71" s="71">
        <f t="shared" ref="AU71:AU76" si="13">((G71*K71/18*AT71*1.25)*AS71+(((G71*K71/18*AT71*1.25)*AS71)*25%))</f>
        <v>0</v>
      </c>
      <c r="AV71" s="80">
        <v>0.1</v>
      </c>
      <c r="AW71" s="71">
        <f t="shared" si="8"/>
        <v>10264.259999999998</v>
      </c>
      <c r="AX71" s="64">
        <f t="shared" si="9"/>
        <v>118215.95999999998</v>
      </c>
      <c r="AY71" s="71">
        <f t="shared" si="10"/>
        <v>102642.59999999998</v>
      </c>
      <c r="AZ71" s="64">
        <f t="shared" si="11"/>
        <v>1418591.5199999998</v>
      </c>
      <c r="BA71" s="5"/>
      <c r="BB71" s="5"/>
    </row>
    <row r="72" spans="1:54" ht="15.75" customHeight="1">
      <c r="A72" s="5">
        <v>66</v>
      </c>
      <c r="B72" s="19" t="s">
        <v>109</v>
      </c>
      <c r="C72" s="22" t="s">
        <v>132</v>
      </c>
      <c r="D72" s="36" t="s">
        <v>191</v>
      </c>
      <c r="E72" s="43" t="s">
        <v>203</v>
      </c>
      <c r="F72" s="46" t="s">
        <v>260</v>
      </c>
      <c r="G72" s="72">
        <v>17697</v>
      </c>
      <c r="H72" s="49"/>
      <c r="I72" s="51"/>
      <c r="J72" s="49">
        <v>1</v>
      </c>
      <c r="K72" s="57"/>
      <c r="L72" s="57">
        <v>4.2699999999999996</v>
      </c>
      <c r="M72" s="65">
        <f t="shared" ref="M72:M76" si="14">G72*K72/18*H72</f>
        <v>0</v>
      </c>
      <c r="N72" s="65">
        <f t="shared" ref="N72:N76" si="15">G72*L72*J72</f>
        <v>75566.189999999988</v>
      </c>
      <c r="O72" s="65">
        <f>(M72+N72)</f>
        <v>75566.189999999988</v>
      </c>
      <c r="P72" s="65">
        <f t="shared" ref="P72:P76" si="16">O72*25%</f>
        <v>18891.547499999997</v>
      </c>
      <c r="Q72" s="65">
        <f t="shared" ref="Q72:Q76" si="17">O72+P72</f>
        <v>94457.737499999988</v>
      </c>
      <c r="R72" s="64">
        <f t="shared" ref="R72:R76" si="18">T72+W72+Y72+AA72+AC72+AE72+AG72+AI72+AM72+AO72+AR72+AU72+AW72</f>
        <v>12985.173749999998</v>
      </c>
      <c r="S72" s="72"/>
      <c r="T72" s="72"/>
      <c r="U72" s="73"/>
      <c r="V72" s="73"/>
      <c r="W72" s="74"/>
      <c r="X72" s="10"/>
      <c r="Y72" s="10"/>
      <c r="Z72" s="66">
        <v>0.2</v>
      </c>
      <c r="AA72" s="71">
        <f>G72*Z72</f>
        <v>3539.4</v>
      </c>
      <c r="AB72" s="77"/>
      <c r="AC72" s="69"/>
      <c r="AD72" s="10"/>
      <c r="AE72" s="10"/>
      <c r="AF72" s="10"/>
      <c r="AG72" s="10"/>
      <c r="AH72" s="10"/>
      <c r="AI72" s="10"/>
      <c r="AJ72" s="70"/>
      <c r="AK72" s="48"/>
      <c r="AL72" s="79"/>
      <c r="AM72" s="77"/>
      <c r="AN72" s="48"/>
      <c r="AO72" s="77"/>
      <c r="AP72" s="70"/>
      <c r="AQ72" s="10"/>
      <c r="AR72" s="10"/>
      <c r="AS72" s="80">
        <v>0.3</v>
      </c>
      <c r="AT72" s="49"/>
      <c r="AU72" s="71">
        <f t="shared" si="13"/>
        <v>0</v>
      </c>
      <c r="AV72" s="80">
        <v>0.1</v>
      </c>
      <c r="AW72" s="71">
        <f t="shared" ref="AW72:AW76" si="19">Q72*AV72</f>
        <v>9445.7737499999985</v>
      </c>
      <c r="AX72" s="64">
        <f t="shared" ref="AX72:AX76" si="20">SUM(Q72+R72)</f>
        <v>107442.91124999999</v>
      </c>
      <c r="AY72" s="71">
        <f t="shared" ref="AY72:AY76" si="21">Q72</f>
        <v>94457.737499999988</v>
      </c>
      <c r="AZ72" s="64">
        <f t="shared" ref="AZ72:AZ76" si="22">AX72*12</f>
        <v>1289314.9349999998</v>
      </c>
      <c r="BA72" s="5"/>
      <c r="BB72" s="5"/>
    </row>
    <row r="73" spans="1:54" ht="15.75" customHeight="1">
      <c r="A73" s="5">
        <v>67</v>
      </c>
      <c r="B73" s="19" t="s">
        <v>110</v>
      </c>
      <c r="C73" s="22" t="s">
        <v>133</v>
      </c>
      <c r="D73" s="36" t="s">
        <v>191</v>
      </c>
      <c r="E73" s="43" t="s">
        <v>241</v>
      </c>
      <c r="F73" s="46" t="s">
        <v>246</v>
      </c>
      <c r="G73" s="72">
        <v>17697</v>
      </c>
      <c r="H73" s="49"/>
      <c r="I73" s="51"/>
      <c r="J73" s="49">
        <v>1</v>
      </c>
      <c r="K73" s="57"/>
      <c r="L73" s="57">
        <v>3.71</v>
      </c>
      <c r="M73" s="65">
        <f t="shared" si="14"/>
        <v>0</v>
      </c>
      <c r="N73" s="65">
        <f t="shared" si="15"/>
        <v>65655.87</v>
      </c>
      <c r="O73" s="65">
        <f>(M73+N73)</f>
        <v>65655.87</v>
      </c>
      <c r="P73" s="65">
        <f t="shared" si="16"/>
        <v>16413.967499999999</v>
      </c>
      <c r="Q73" s="65">
        <f t="shared" si="17"/>
        <v>82069.837499999994</v>
      </c>
      <c r="R73" s="64">
        <f t="shared" si="18"/>
        <v>8206.9837499999994</v>
      </c>
      <c r="S73" s="72"/>
      <c r="T73" s="72"/>
      <c r="U73" s="73"/>
      <c r="V73" s="73"/>
      <c r="W73" s="74"/>
      <c r="X73" s="10"/>
      <c r="Y73" s="10"/>
      <c r="Z73" s="66"/>
      <c r="AA73" s="10"/>
      <c r="AB73" s="77"/>
      <c r="AC73" s="69"/>
      <c r="AD73" s="10"/>
      <c r="AE73" s="10"/>
      <c r="AF73" s="10"/>
      <c r="AG73" s="10"/>
      <c r="AH73" s="10"/>
      <c r="AI73" s="10"/>
      <c r="AJ73" s="70"/>
      <c r="AK73" s="48"/>
      <c r="AL73" s="79"/>
      <c r="AM73" s="77"/>
      <c r="AN73" s="48"/>
      <c r="AO73" s="77"/>
      <c r="AP73" s="70"/>
      <c r="AQ73" s="10"/>
      <c r="AR73" s="10"/>
      <c r="AS73" s="80">
        <v>0.3</v>
      </c>
      <c r="AT73" s="49"/>
      <c r="AU73" s="71">
        <f t="shared" si="13"/>
        <v>0</v>
      </c>
      <c r="AV73" s="80">
        <v>0.1</v>
      </c>
      <c r="AW73" s="71">
        <f t="shared" si="19"/>
        <v>8206.9837499999994</v>
      </c>
      <c r="AX73" s="64">
        <f t="shared" si="20"/>
        <v>90276.821249999994</v>
      </c>
      <c r="AY73" s="71">
        <f t="shared" si="21"/>
        <v>82069.837499999994</v>
      </c>
      <c r="AZ73" s="64">
        <f t="shared" si="22"/>
        <v>1083321.855</v>
      </c>
      <c r="BA73" s="5"/>
      <c r="BB73" s="5"/>
    </row>
    <row r="74" spans="1:54" ht="15.75" customHeight="1">
      <c r="A74" s="5">
        <v>68</v>
      </c>
      <c r="B74" s="19" t="s">
        <v>111</v>
      </c>
      <c r="C74" s="31" t="s">
        <v>401</v>
      </c>
      <c r="D74" s="36" t="s">
        <v>192</v>
      </c>
      <c r="E74" s="43" t="s">
        <v>349</v>
      </c>
      <c r="F74" s="33" t="s">
        <v>255</v>
      </c>
      <c r="G74" s="72">
        <v>17697</v>
      </c>
      <c r="H74" s="49"/>
      <c r="I74" s="51">
        <v>2</v>
      </c>
      <c r="J74" s="9"/>
      <c r="K74" s="57">
        <v>4.03</v>
      </c>
      <c r="L74" s="57"/>
      <c r="M74" s="65">
        <f>G74*K74/24*I74</f>
        <v>5943.2425000000003</v>
      </c>
      <c r="N74" s="65">
        <v>0</v>
      </c>
      <c r="O74" s="65">
        <f t="shared" ref="O74:O76" si="23">(M74+N74)*1.25</f>
        <v>7429.0531250000004</v>
      </c>
      <c r="P74" s="65">
        <f t="shared" si="16"/>
        <v>1857.2632812500001</v>
      </c>
      <c r="Q74" s="65">
        <f t="shared" si="17"/>
        <v>9286.31640625</v>
      </c>
      <c r="R74" s="64">
        <f t="shared" si="18"/>
        <v>928.63164062500005</v>
      </c>
      <c r="S74" s="72"/>
      <c r="T74" s="72"/>
      <c r="U74" s="73"/>
      <c r="V74" s="73"/>
      <c r="W74" s="74"/>
      <c r="X74" s="10"/>
      <c r="Y74" s="10"/>
      <c r="Z74" s="66"/>
      <c r="AA74" s="10"/>
      <c r="AB74" s="77"/>
      <c r="AC74" s="69"/>
      <c r="AD74" s="10"/>
      <c r="AE74" s="10"/>
      <c r="AF74" s="10"/>
      <c r="AG74" s="10"/>
      <c r="AH74" s="10"/>
      <c r="AI74" s="10"/>
      <c r="AJ74" s="83"/>
      <c r="AK74" s="48"/>
      <c r="AL74" s="79"/>
      <c r="AM74" s="48"/>
      <c r="AN74" s="48"/>
      <c r="AO74" s="48"/>
      <c r="AP74" s="83"/>
      <c r="AQ74" s="10"/>
      <c r="AR74" s="10"/>
      <c r="AS74" s="80">
        <v>0.3</v>
      </c>
      <c r="AT74" s="49"/>
      <c r="AU74" s="71">
        <f t="shared" si="13"/>
        <v>0</v>
      </c>
      <c r="AV74" s="80">
        <v>0.1</v>
      </c>
      <c r="AW74" s="71">
        <f t="shared" si="19"/>
        <v>928.63164062500005</v>
      </c>
      <c r="AX74" s="64">
        <f t="shared" si="20"/>
        <v>10214.948046875001</v>
      </c>
      <c r="AY74" s="71">
        <f t="shared" si="21"/>
        <v>9286.31640625</v>
      </c>
      <c r="AZ74" s="64">
        <f t="shared" si="22"/>
        <v>122579.37656250001</v>
      </c>
      <c r="BA74" s="5"/>
      <c r="BB74" s="5"/>
    </row>
    <row r="75" spans="1:54" ht="15.75" customHeight="1">
      <c r="A75" s="5">
        <v>69</v>
      </c>
      <c r="B75" s="19" t="s">
        <v>176</v>
      </c>
      <c r="C75" s="31" t="s">
        <v>177</v>
      </c>
      <c r="D75" s="36" t="s">
        <v>191</v>
      </c>
      <c r="E75" s="41" t="s">
        <v>196</v>
      </c>
      <c r="F75" s="33" t="s">
        <v>261</v>
      </c>
      <c r="G75" s="86">
        <v>17697</v>
      </c>
      <c r="H75" s="8"/>
      <c r="I75" s="51"/>
      <c r="J75" s="102">
        <v>1</v>
      </c>
      <c r="K75" s="9"/>
      <c r="L75" s="62">
        <v>6.22</v>
      </c>
      <c r="M75" s="65">
        <f t="shared" si="14"/>
        <v>0</v>
      </c>
      <c r="N75" s="65">
        <f t="shared" si="15"/>
        <v>110075.34</v>
      </c>
      <c r="O75" s="65">
        <f t="shared" si="23"/>
        <v>137594.17499999999</v>
      </c>
      <c r="P75" s="65">
        <f t="shared" si="16"/>
        <v>34398.543749999997</v>
      </c>
      <c r="Q75" s="65">
        <f t="shared" si="17"/>
        <v>171992.71875</v>
      </c>
      <c r="R75" s="64">
        <f t="shared" si="18"/>
        <v>17199.271875000002</v>
      </c>
      <c r="S75" s="7"/>
      <c r="T75" s="7"/>
      <c r="U75" s="7"/>
      <c r="V75" s="76"/>
      <c r="W75" s="76"/>
      <c r="X75" s="10"/>
      <c r="Y75" s="10"/>
      <c r="Z75" s="11"/>
      <c r="AA75" s="10"/>
      <c r="AB75" s="78"/>
      <c r="AC75" s="69"/>
      <c r="AD75" s="10"/>
      <c r="AE75" s="10"/>
      <c r="AF75" s="10"/>
      <c r="AG75" s="10"/>
      <c r="AH75" s="10"/>
      <c r="AI75" s="10"/>
      <c r="AJ75" s="10"/>
      <c r="AK75" s="10"/>
      <c r="AL75" s="79"/>
      <c r="AM75" s="10"/>
      <c r="AN75" s="10"/>
      <c r="AO75" s="10"/>
      <c r="AP75" s="10"/>
      <c r="AQ75" s="10"/>
      <c r="AR75" s="10"/>
      <c r="AS75" s="80">
        <v>0.3</v>
      </c>
      <c r="AT75" s="8"/>
      <c r="AU75" s="71">
        <f t="shared" si="13"/>
        <v>0</v>
      </c>
      <c r="AV75" s="80">
        <v>0.1</v>
      </c>
      <c r="AW75" s="71">
        <f t="shared" si="19"/>
        <v>17199.271875000002</v>
      </c>
      <c r="AX75" s="64">
        <f t="shared" si="20"/>
        <v>189191.99062500001</v>
      </c>
      <c r="AY75" s="71">
        <f t="shared" si="21"/>
        <v>171992.71875</v>
      </c>
      <c r="AZ75" s="64">
        <f t="shared" si="22"/>
        <v>2270303.8875000002</v>
      </c>
      <c r="BA75" s="5"/>
      <c r="BB75" s="5"/>
    </row>
    <row r="76" spans="1:54" ht="15.75" customHeight="1">
      <c r="A76" s="5">
        <v>70</v>
      </c>
      <c r="B76" s="19" t="s">
        <v>176</v>
      </c>
      <c r="C76" s="31" t="s">
        <v>178</v>
      </c>
      <c r="D76" s="36" t="s">
        <v>191</v>
      </c>
      <c r="E76" s="41" t="s">
        <v>242</v>
      </c>
      <c r="F76" s="33" t="s">
        <v>246</v>
      </c>
      <c r="G76" s="85">
        <v>17697</v>
      </c>
      <c r="H76" s="8"/>
      <c r="I76" s="51"/>
      <c r="J76" s="102">
        <v>1</v>
      </c>
      <c r="K76" s="9"/>
      <c r="L76" s="62">
        <v>4.1900000000000004</v>
      </c>
      <c r="M76" s="65">
        <f t="shared" si="14"/>
        <v>0</v>
      </c>
      <c r="N76" s="65">
        <f t="shared" si="15"/>
        <v>74150.430000000008</v>
      </c>
      <c r="O76" s="65">
        <f t="shared" si="23"/>
        <v>92688.037500000006</v>
      </c>
      <c r="P76" s="65">
        <f t="shared" si="16"/>
        <v>23172.009375000001</v>
      </c>
      <c r="Q76" s="65">
        <f t="shared" si="17"/>
        <v>115860.046875</v>
      </c>
      <c r="R76" s="64">
        <f t="shared" si="18"/>
        <v>11586.004687500001</v>
      </c>
      <c r="S76" s="64"/>
      <c r="T76" s="64"/>
      <c r="U76" s="7"/>
      <c r="V76" s="10"/>
      <c r="W76" s="7"/>
      <c r="X76" s="10"/>
      <c r="Y76" s="10"/>
      <c r="Z76" s="11"/>
      <c r="AA76" s="10"/>
      <c r="AB76" s="10"/>
      <c r="AC76" s="69"/>
      <c r="AD76" s="10"/>
      <c r="AE76" s="10"/>
      <c r="AF76" s="10"/>
      <c r="AG76" s="10"/>
      <c r="AH76" s="10"/>
      <c r="AI76" s="10"/>
      <c r="AJ76" s="10"/>
      <c r="AK76" s="10"/>
      <c r="AL76" s="79"/>
      <c r="AM76" s="10"/>
      <c r="AN76" s="10"/>
      <c r="AO76" s="10"/>
      <c r="AP76" s="10"/>
      <c r="AQ76" s="10"/>
      <c r="AR76" s="10"/>
      <c r="AS76" s="80">
        <v>0.3</v>
      </c>
      <c r="AT76" s="8"/>
      <c r="AU76" s="71">
        <f t="shared" si="13"/>
        <v>0</v>
      </c>
      <c r="AV76" s="80">
        <v>0.1</v>
      </c>
      <c r="AW76" s="71">
        <f t="shared" si="19"/>
        <v>11586.004687500001</v>
      </c>
      <c r="AX76" s="64">
        <f t="shared" si="20"/>
        <v>127446.0515625</v>
      </c>
      <c r="AY76" s="71">
        <f t="shared" si="21"/>
        <v>115860.046875</v>
      </c>
      <c r="AZ76" s="64">
        <f t="shared" si="22"/>
        <v>1529352.6187499999</v>
      </c>
      <c r="BA76" s="5"/>
      <c r="BB76" s="5"/>
    </row>
    <row r="77" spans="1:54" ht="15.75" customHeight="1" thickBot="1">
      <c r="A77" s="236" t="s">
        <v>290</v>
      </c>
      <c r="B77" s="237"/>
      <c r="C77" s="237"/>
      <c r="D77" s="237"/>
      <c r="E77" s="237"/>
      <c r="F77" s="238" t="s">
        <v>43</v>
      </c>
      <c r="G77" s="239"/>
      <c r="H77" s="240">
        <f>SUM(H7:H76)</f>
        <v>964</v>
      </c>
      <c r="I77" s="241">
        <f>SUM(I7:I76)</f>
        <v>53</v>
      </c>
      <c r="J77" s="158">
        <f>SUM(J7:J76)</f>
        <v>19.5</v>
      </c>
      <c r="K77" s="157"/>
      <c r="L77" s="157"/>
      <c r="M77" s="159">
        <f t="shared" ref="M77:R77" si="24">SUM(M7:M76)</f>
        <v>4649508.2308333321</v>
      </c>
      <c r="N77" s="159">
        <f t="shared" si="24"/>
        <v>1584640.9962499999</v>
      </c>
      <c r="O77" s="159">
        <f t="shared" si="24"/>
        <v>7649849.6226041643</v>
      </c>
      <c r="P77" s="159">
        <f t="shared" si="24"/>
        <v>1912462.4056510411</v>
      </c>
      <c r="Q77" s="159">
        <f t="shared" si="24"/>
        <v>9562312.0282552131</v>
      </c>
      <c r="R77" s="159">
        <f t="shared" si="24"/>
        <v>3816071.4374033306</v>
      </c>
      <c r="S77" s="159">
        <f>SUM(S7:S76)</f>
        <v>28</v>
      </c>
      <c r="T77" s="159">
        <f>SUM(T7:T76)</f>
        <v>11011.466666666665</v>
      </c>
      <c r="U77" s="156" t="s">
        <v>43</v>
      </c>
      <c r="V77" s="156" t="s">
        <v>43</v>
      </c>
      <c r="W77" s="159">
        <f>SUM(W7:W76)</f>
        <v>253067.1</v>
      </c>
      <c r="X77" s="156" t="s">
        <v>43</v>
      </c>
      <c r="Y77" s="156">
        <f>SUM(Y7:Y76)</f>
        <v>70788</v>
      </c>
      <c r="Z77" s="156" t="s">
        <v>43</v>
      </c>
      <c r="AA77" s="156">
        <f>SUM(AA7:AA76)</f>
        <v>70788.000000000015</v>
      </c>
      <c r="AB77" s="156" t="s">
        <v>43</v>
      </c>
      <c r="AC77" s="159">
        <f>SUM(AC7:AC76)</f>
        <v>194027.94166666668</v>
      </c>
      <c r="AD77" s="156" t="s">
        <v>43</v>
      </c>
      <c r="AE77" s="159">
        <f>SUM(AE7:AE76)</f>
        <v>5309.0999999999995</v>
      </c>
      <c r="AF77" s="156"/>
      <c r="AG77" s="156">
        <v>0</v>
      </c>
      <c r="AH77" s="156" t="s">
        <v>43</v>
      </c>
      <c r="AI77" s="156">
        <f>SUM(AI7:AI76)</f>
        <v>27780</v>
      </c>
      <c r="AJ77" s="156" t="s">
        <v>43</v>
      </c>
      <c r="AK77" s="159">
        <f>SUM(AK7:AK76)</f>
        <v>138</v>
      </c>
      <c r="AL77" s="156"/>
      <c r="AM77" s="159">
        <f>SUM(AM7:AM76)</f>
        <v>2899.5273382257392</v>
      </c>
      <c r="AN77" s="156"/>
      <c r="AO77" s="159">
        <f>SUM(AO7:AO76)</f>
        <v>34243.695</v>
      </c>
      <c r="AP77" s="156"/>
      <c r="AQ77" s="156"/>
      <c r="AR77" s="156"/>
      <c r="AS77" s="156" t="s">
        <v>43</v>
      </c>
      <c r="AT77" s="240">
        <f>SUM(AT7:AT76)</f>
        <v>964</v>
      </c>
      <c r="AU77" s="159">
        <f>SUM(AU7:AU76)</f>
        <v>2189925.4039062504</v>
      </c>
      <c r="AV77" s="156" t="s">
        <v>43</v>
      </c>
      <c r="AW77" s="159">
        <f>SUM(AW7:AW76)</f>
        <v>956231.20282552054</v>
      </c>
      <c r="AX77" s="160">
        <f>SUM(AX7:AX76)</f>
        <v>13378383.46565854</v>
      </c>
      <c r="AY77" s="160">
        <f>SUM(AY7:AY76)</f>
        <v>9562312.0282552131</v>
      </c>
      <c r="AZ77" s="161">
        <f>SUM(AZ7:AZ76)</f>
        <v>160540601.58790246</v>
      </c>
      <c r="BA77" s="5"/>
      <c r="BB77" s="5"/>
    </row>
    <row r="78" spans="1:54" ht="15.75" customHeight="1">
      <c r="A78" s="5">
        <v>1</v>
      </c>
      <c r="B78" s="34" t="s">
        <v>143</v>
      </c>
      <c r="C78" s="35" t="s">
        <v>190</v>
      </c>
      <c r="D78" s="40" t="s">
        <v>193</v>
      </c>
      <c r="E78" s="42" t="s">
        <v>264</v>
      </c>
      <c r="F78" s="37" t="s">
        <v>283</v>
      </c>
      <c r="G78" s="72">
        <v>17697</v>
      </c>
      <c r="H78" s="88"/>
      <c r="I78" s="8"/>
      <c r="J78" s="88">
        <v>1</v>
      </c>
      <c r="K78" s="9"/>
      <c r="L78" s="90">
        <v>4.88</v>
      </c>
      <c r="M78" s="9"/>
      <c r="N78" s="64">
        <f>G78*L78*J78</f>
        <v>86361.36</v>
      </c>
      <c r="O78" s="7"/>
      <c r="P78" s="7"/>
      <c r="Q78" s="64">
        <f>N78</f>
        <v>86361.36</v>
      </c>
      <c r="R78" s="64">
        <f t="shared" ref="R78:R124" si="25">U78+W78+Y78+AA78+AC78+AE78+AG78+AI78+AM78+AO78+AR78+AU78+AW78</f>
        <v>8636.1360000000004</v>
      </c>
      <c r="S78" s="7"/>
      <c r="T78" s="7"/>
      <c r="U78" s="7"/>
      <c r="V78" s="10"/>
      <c r="W78" s="7"/>
      <c r="X78" s="10"/>
      <c r="Y78" s="10"/>
      <c r="Z78" s="11"/>
      <c r="AA78" s="10"/>
      <c r="AB78" s="10"/>
      <c r="AC78" s="10"/>
      <c r="AD78" s="92"/>
      <c r="AE78" s="67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68">
        <v>0.1</v>
      </c>
      <c r="AW78" s="64">
        <f>Q78*AV78</f>
        <v>8636.1360000000004</v>
      </c>
      <c r="AX78" s="64">
        <f t="shared" ref="AX78:AX124" si="26">SUM(Q78+R78)</f>
        <v>94997.495999999999</v>
      </c>
      <c r="AY78" s="64">
        <f t="shared" ref="AY78:AY85" si="27">Q78</f>
        <v>86361.36</v>
      </c>
      <c r="AZ78" s="64">
        <f>AX78*12</f>
        <v>1139969.952</v>
      </c>
      <c r="BA78" s="5"/>
      <c r="BB78" s="5"/>
    </row>
    <row r="79" spans="1:54" ht="15.75" customHeight="1">
      <c r="A79" s="5">
        <v>2</v>
      </c>
      <c r="B79" s="34" t="s">
        <v>144</v>
      </c>
      <c r="C79" s="35" t="s">
        <v>390</v>
      </c>
      <c r="D79" s="40" t="s">
        <v>191</v>
      </c>
      <c r="E79" s="42" t="s">
        <v>265</v>
      </c>
      <c r="F79" s="37" t="s">
        <v>283</v>
      </c>
      <c r="G79" s="72">
        <v>17697</v>
      </c>
      <c r="H79" s="88"/>
      <c r="I79" s="8"/>
      <c r="J79" s="88">
        <v>1</v>
      </c>
      <c r="K79" s="9"/>
      <c r="L79" s="90">
        <v>5.61</v>
      </c>
      <c r="M79" s="9"/>
      <c r="N79" s="64">
        <f t="shared" ref="N79:N124" si="28">G79*L79*J79</f>
        <v>99280.170000000013</v>
      </c>
      <c r="O79" s="7"/>
      <c r="P79" s="7"/>
      <c r="Q79" s="64">
        <f t="shared" ref="Q79:Q124" si="29">N79</f>
        <v>99280.170000000013</v>
      </c>
      <c r="R79" s="64">
        <f t="shared" si="25"/>
        <v>9928.0170000000016</v>
      </c>
      <c r="S79" s="7"/>
      <c r="T79" s="7"/>
      <c r="U79" s="7"/>
      <c r="V79" s="10"/>
      <c r="W79" s="7"/>
      <c r="X79" s="10"/>
      <c r="Y79" s="10"/>
      <c r="Z79" s="11"/>
      <c r="AA79" s="10"/>
      <c r="AB79" s="10"/>
      <c r="AC79" s="10"/>
      <c r="AD79" s="92"/>
      <c r="AE79" s="67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68">
        <v>0.1</v>
      </c>
      <c r="AW79" s="64">
        <f t="shared" ref="AW79:AW124" si="30">Q79*AV79</f>
        <v>9928.0170000000016</v>
      </c>
      <c r="AX79" s="64">
        <f t="shared" si="26"/>
        <v>109208.18700000002</v>
      </c>
      <c r="AY79" s="64">
        <f t="shared" si="27"/>
        <v>99280.170000000013</v>
      </c>
      <c r="AZ79" s="64">
        <f t="shared" ref="AZ79:AZ125" si="31">AX79*12</f>
        <v>1310498.2440000002</v>
      </c>
      <c r="BA79" s="5"/>
      <c r="BB79" s="5"/>
    </row>
    <row r="80" spans="1:54" ht="15.75" customHeight="1">
      <c r="A80" s="5">
        <v>3</v>
      </c>
      <c r="B80" s="34" t="s">
        <v>145</v>
      </c>
      <c r="C80" s="35" t="s">
        <v>179</v>
      </c>
      <c r="D80" s="40" t="s">
        <v>191</v>
      </c>
      <c r="E80" s="42" t="s">
        <v>266</v>
      </c>
      <c r="F80" s="87" t="s">
        <v>260</v>
      </c>
      <c r="G80" s="72">
        <v>17697</v>
      </c>
      <c r="H80" s="88"/>
      <c r="I80" s="8"/>
      <c r="J80" s="88">
        <v>1</v>
      </c>
      <c r="K80" s="9"/>
      <c r="L80" s="90">
        <v>4.83</v>
      </c>
      <c r="M80" s="9"/>
      <c r="N80" s="64">
        <f t="shared" si="28"/>
        <v>85476.51</v>
      </c>
      <c r="O80" s="7"/>
      <c r="P80" s="7"/>
      <c r="Q80" s="64">
        <f t="shared" si="29"/>
        <v>85476.51</v>
      </c>
      <c r="R80" s="64">
        <f t="shared" si="25"/>
        <v>8547.6509999999998</v>
      </c>
      <c r="S80" s="7"/>
      <c r="T80" s="7"/>
      <c r="U80" s="7"/>
      <c r="V80" s="10"/>
      <c r="W80" s="7"/>
      <c r="X80" s="10"/>
      <c r="Y80" s="10"/>
      <c r="Z80" s="11"/>
      <c r="AA80" s="10"/>
      <c r="AB80" s="10"/>
      <c r="AC80" s="10"/>
      <c r="AD80" s="92"/>
      <c r="AE80" s="67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68">
        <v>0.1</v>
      </c>
      <c r="AW80" s="64">
        <f t="shared" si="30"/>
        <v>8547.6509999999998</v>
      </c>
      <c r="AX80" s="64">
        <f t="shared" si="26"/>
        <v>94024.160999999993</v>
      </c>
      <c r="AY80" s="64">
        <f t="shared" si="27"/>
        <v>85476.51</v>
      </c>
      <c r="AZ80" s="64">
        <f t="shared" si="31"/>
        <v>1128289.932</v>
      </c>
      <c r="BA80" s="5"/>
      <c r="BB80" s="5"/>
    </row>
    <row r="81" spans="1:54" ht="15.75" customHeight="1">
      <c r="A81" s="5">
        <v>4</v>
      </c>
      <c r="B81" s="34" t="s">
        <v>146</v>
      </c>
      <c r="C81" s="35" t="s">
        <v>180</v>
      </c>
      <c r="D81" s="40" t="s">
        <v>191</v>
      </c>
      <c r="E81" s="42" t="s">
        <v>213</v>
      </c>
      <c r="F81" s="87" t="s">
        <v>284</v>
      </c>
      <c r="G81" s="72">
        <v>17697</v>
      </c>
      <c r="H81" s="88"/>
      <c r="I81" s="8"/>
      <c r="J81" s="88">
        <v>1</v>
      </c>
      <c r="K81" s="9"/>
      <c r="L81" s="91">
        <v>2.94</v>
      </c>
      <c r="M81" s="9"/>
      <c r="N81" s="64">
        <f t="shared" si="28"/>
        <v>52029.18</v>
      </c>
      <c r="O81" s="7"/>
      <c r="P81" s="7"/>
      <c r="Q81" s="64">
        <f t="shared" si="29"/>
        <v>52029.18</v>
      </c>
      <c r="R81" s="64">
        <f t="shared" si="25"/>
        <v>5202.9180000000006</v>
      </c>
      <c r="S81" s="7"/>
      <c r="T81" s="7"/>
      <c r="U81" s="7"/>
      <c r="V81" s="10"/>
      <c r="W81" s="7"/>
      <c r="X81" s="10"/>
      <c r="Y81" s="10"/>
      <c r="Z81" s="11"/>
      <c r="AA81" s="10"/>
      <c r="AB81" s="10"/>
      <c r="AC81" s="10"/>
      <c r="AD81" s="92"/>
      <c r="AE81" s="67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68">
        <v>0.1</v>
      </c>
      <c r="AW81" s="64">
        <f t="shared" si="30"/>
        <v>5202.9180000000006</v>
      </c>
      <c r="AX81" s="64">
        <f t="shared" si="26"/>
        <v>57232.097999999998</v>
      </c>
      <c r="AY81" s="64">
        <f t="shared" si="27"/>
        <v>52029.18</v>
      </c>
      <c r="AZ81" s="64">
        <f t="shared" si="31"/>
        <v>686785.17599999998</v>
      </c>
      <c r="BA81" s="5"/>
      <c r="BB81" s="5"/>
    </row>
    <row r="82" spans="1:54" ht="15.75" customHeight="1">
      <c r="A82" s="5">
        <v>5</v>
      </c>
      <c r="B82" s="34" t="s">
        <v>147</v>
      </c>
      <c r="C82" s="35" t="s">
        <v>181</v>
      </c>
      <c r="D82" s="40" t="s">
        <v>191</v>
      </c>
      <c r="E82" s="42" t="s">
        <v>230</v>
      </c>
      <c r="F82" s="87" t="s">
        <v>284</v>
      </c>
      <c r="G82" s="72">
        <v>17697</v>
      </c>
      <c r="H82" s="88"/>
      <c r="I82" s="8"/>
      <c r="J82" s="88">
        <v>1</v>
      </c>
      <c r="K82" s="9"/>
      <c r="L82" s="91">
        <v>2.98</v>
      </c>
      <c r="M82" s="9"/>
      <c r="N82" s="64">
        <f t="shared" si="28"/>
        <v>52737.06</v>
      </c>
      <c r="O82" s="7"/>
      <c r="P82" s="7"/>
      <c r="Q82" s="64">
        <f t="shared" si="29"/>
        <v>52737.06</v>
      </c>
      <c r="R82" s="64">
        <f t="shared" si="25"/>
        <v>5273.7060000000001</v>
      </c>
      <c r="S82" s="7"/>
      <c r="T82" s="7"/>
      <c r="U82" s="7"/>
      <c r="V82" s="10"/>
      <c r="W82" s="7"/>
      <c r="X82" s="10"/>
      <c r="Y82" s="10"/>
      <c r="Z82" s="11"/>
      <c r="AA82" s="10"/>
      <c r="AB82" s="10"/>
      <c r="AC82" s="10"/>
      <c r="AD82" s="93"/>
      <c r="AE82" s="67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68">
        <v>0.1</v>
      </c>
      <c r="AW82" s="64">
        <f t="shared" si="30"/>
        <v>5273.7060000000001</v>
      </c>
      <c r="AX82" s="64">
        <f t="shared" si="26"/>
        <v>58010.765999999996</v>
      </c>
      <c r="AY82" s="64">
        <f t="shared" si="27"/>
        <v>52737.06</v>
      </c>
      <c r="AZ82" s="64">
        <f t="shared" si="31"/>
        <v>696129.19199999992</v>
      </c>
      <c r="BA82" s="5"/>
      <c r="BB82" s="5"/>
    </row>
    <row r="83" spans="1:54" ht="15.75" customHeight="1">
      <c r="A83" s="5">
        <v>6</v>
      </c>
      <c r="B83" s="34" t="s">
        <v>148</v>
      </c>
      <c r="C83" s="35" t="s">
        <v>182</v>
      </c>
      <c r="D83" s="40" t="s">
        <v>193</v>
      </c>
      <c r="E83" s="42" t="s">
        <v>267</v>
      </c>
      <c r="F83" s="87" t="s">
        <v>284</v>
      </c>
      <c r="G83" s="72">
        <v>17697</v>
      </c>
      <c r="H83" s="88"/>
      <c r="I83" s="8"/>
      <c r="J83" s="88">
        <v>0.5</v>
      </c>
      <c r="K83" s="9"/>
      <c r="L83" s="90">
        <v>3.08</v>
      </c>
      <c r="M83" s="9"/>
      <c r="N83" s="64">
        <f t="shared" si="28"/>
        <v>27253.38</v>
      </c>
      <c r="O83" s="7"/>
      <c r="P83" s="7"/>
      <c r="Q83" s="64">
        <f t="shared" si="29"/>
        <v>27253.38</v>
      </c>
      <c r="R83" s="64">
        <f t="shared" si="25"/>
        <v>5379.8879999999999</v>
      </c>
      <c r="S83" s="7"/>
      <c r="T83" s="7"/>
      <c r="U83" s="7"/>
      <c r="V83" s="10"/>
      <c r="W83" s="7"/>
      <c r="X83" s="10"/>
      <c r="Y83" s="10"/>
      <c r="Z83" s="11"/>
      <c r="AA83" s="10"/>
      <c r="AB83" s="10"/>
      <c r="AC83" s="10"/>
      <c r="AD83" s="93">
        <v>0.3</v>
      </c>
      <c r="AE83" s="67">
        <f>G83*AD83*J83</f>
        <v>2654.5499999999997</v>
      </c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68">
        <v>0.1</v>
      </c>
      <c r="AW83" s="64">
        <f t="shared" si="30"/>
        <v>2725.3380000000002</v>
      </c>
      <c r="AX83" s="64">
        <f t="shared" si="26"/>
        <v>32633.268</v>
      </c>
      <c r="AY83" s="64">
        <f t="shared" si="27"/>
        <v>27253.38</v>
      </c>
      <c r="AZ83" s="64">
        <f t="shared" si="31"/>
        <v>391599.21600000001</v>
      </c>
      <c r="BA83" s="5"/>
      <c r="BB83" s="5"/>
    </row>
    <row r="84" spans="1:54" ht="15.75" customHeight="1">
      <c r="A84" s="5">
        <v>7</v>
      </c>
      <c r="B84" s="34" t="s">
        <v>149</v>
      </c>
      <c r="C84" s="35" t="s">
        <v>391</v>
      </c>
      <c r="D84" s="40" t="s">
        <v>194</v>
      </c>
      <c r="E84" s="42" t="s">
        <v>236</v>
      </c>
      <c r="F84" s="39" t="s">
        <v>285</v>
      </c>
      <c r="G84" s="72">
        <v>17697</v>
      </c>
      <c r="H84" s="88"/>
      <c r="I84" s="8"/>
      <c r="J84" s="88">
        <v>1</v>
      </c>
      <c r="K84" s="9"/>
      <c r="L84" s="90">
        <v>2.89</v>
      </c>
      <c r="M84" s="9"/>
      <c r="N84" s="64">
        <f t="shared" si="28"/>
        <v>51144.33</v>
      </c>
      <c r="O84" s="7"/>
      <c r="P84" s="7"/>
      <c r="Q84" s="64">
        <f t="shared" si="29"/>
        <v>51144.33</v>
      </c>
      <c r="R84" s="64">
        <f t="shared" si="25"/>
        <v>5114.4330000000009</v>
      </c>
      <c r="S84" s="7"/>
      <c r="T84" s="7"/>
      <c r="U84" s="7"/>
      <c r="V84" s="10"/>
      <c r="W84" s="7"/>
      <c r="X84" s="10"/>
      <c r="Y84" s="10"/>
      <c r="Z84" s="11"/>
      <c r="AA84" s="10"/>
      <c r="AB84" s="10"/>
      <c r="AC84" s="10"/>
      <c r="AD84" s="93"/>
      <c r="AE84" s="67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68">
        <v>0.1</v>
      </c>
      <c r="AW84" s="64">
        <f t="shared" si="30"/>
        <v>5114.4330000000009</v>
      </c>
      <c r="AX84" s="64">
        <f t="shared" si="26"/>
        <v>56258.763000000006</v>
      </c>
      <c r="AY84" s="64">
        <f t="shared" si="27"/>
        <v>51144.33</v>
      </c>
      <c r="AZ84" s="64">
        <f t="shared" si="31"/>
        <v>675105.15600000008</v>
      </c>
      <c r="BA84" s="5"/>
      <c r="BB84" s="5"/>
    </row>
    <row r="85" spans="1:54" ht="15.75" customHeight="1">
      <c r="A85" s="5">
        <v>8</v>
      </c>
      <c r="B85" s="34" t="s">
        <v>150</v>
      </c>
      <c r="C85" s="35" t="s">
        <v>392</v>
      </c>
      <c r="D85" s="40" t="s">
        <v>194</v>
      </c>
      <c r="E85" s="42" t="s">
        <v>215</v>
      </c>
      <c r="F85" s="39" t="s">
        <v>286</v>
      </c>
      <c r="G85" s="72">
        <v>17697</v>
      </c>
      <c r="H85" s="88"/>
      <c r="I85" s="8"/>
      <c r="J85" s="88">
        <v>1</v>
      </c>
      <c r="K85" s="9"/>
      <c r="L85" s="90">
        <v>2.84</v>
      </c>
      <c r="M85" s="9"/>
      <c r="N85" s="64">
        <f t="shared" si="28"/>
        <v>50259.479999999996</v>
      </c>
      <c r="O85" s="7"/>
      <c r="P85" s="7"/>
      <c r="Q85" s="64">
        <f t="shared" si="29"/>
        <v>50259.479999999996</v>
      </c>
      <c r="R85" s="64">
        <f t="shared" si="25"/>
        <v>5025.9480000000003</v>
      </c>
      <c r="S85" s="7"/>
      <c r="T85" s="7"/>
      <c r="U85" s="7"/>
      <c r="V85" s="10"/>
      <c r="W85" s="7"/>
      <c r="X85" s="10"/>
      <c r="Y85" s="10"/>
      <c r="Z85" s="11"/>
      <c r="AA85" s="10"/>
      <c r="AB85" s="10"/>
      <c r="AC85" s="10"/>
      <c r="AD85" s="93"/>
      <c r="AE85" s="67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68">
        <v>0.1</v>
      </c>
      <c r="AW85" s="64">
        <f t="shared" si="30"/>
        <v>5025.9480000000003</v>
      </c>
      <c r="AX85" s="64">
        <f t="shared" si="26"/>
        <v>55285.428</v>
      </c>
      <c r="AY85" s="64">
        <f t="shared" si="27"/>
        <v>50259.479999999996</v>
      </c>
      <c r="AZ85" s="64">
        <f t="shared" si="31"/>
        <v>663425.13599999994</v>
      </c>
      <c r="BA85" s="5"/>
      <c r="BB85" s="5"/>
    </row>
    <row r="86" spans="1:54" ht="15.75" customHeight="1">
      <c r="A86" s="5">
        <v>9</v>
      </c>
      <c r="B86" s="34" t="s">
        <v>151</v>
      </c>
      <c r="C86" s="35" t="s">
        <v>392</v>
      </c>
      <c r="D86" s="40" t="s">
        <v>194</v>
      </c>
      <c r="E86" s="42" t="s">
        <v>268</v>
      </c>
      <c r="F86" s="39" t="s">
        <v>286</v>
      </c>
      <c r="G86" s="72">
        <v>17697</v>
      </c>
      <c r="H86" s="88"/>
      <c r="I86" s="8"/>
      <c r="J86" s="88">
        <v>1</v>
      </c>
      <c r="K86" s="9"/>
      <c r="L86" s="90">
        <v>2.84</v>
      </c>
      <c r="M86" s="9"/>
      <c r="N86" s="64">
        <f t="shared" si="28"/>
        <v>50259.479999999996</v>
      </c>
      <c r="O86" s="7"/>
      <c r="P86" s="7"/>
      <c r="Q86" s="64">
        <f t="shared" si="29"/>
        <v>50259.479999999996</v>
      </c>
      <c r="R86" s="64">
        <f t="shared" si="25"/>
        <v>5025.9480000000003</v>
      </c>
      <c r="S86" s="7"/>
      <c r="T86" s="7"/>
      <c r="U86" s="7"/>
      <c r="V86" s="10"/>
      <c r="W86" s="7"/>
      <c r="X86" s="10"/>
      <c r="Y86" s="10"/>
      <c r="Z86" s="11"/>
      <c r="AA86" s="10"/>
      <c r="AB86" s="10"/>
      <c r="AC86" s="10"/>
      <c r="AD86" s="93"/>
      <c r="AE86" s="67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68">
        <v>0.1</v>
      </c>
      <c r="AW86" s="64">
        <f t="shared" si="30"/>
        <v>5025.9480000000003</v>
      </c>
      <c r="AX86" s="64">
        <f t="shared" si="26"/>
        <v>55285.428</v>
      </c>
      <c r="AY86" s="64">
        <f>N86</f>
        <v>50259.479999999996</v>
      </c>
      <c r="AZ86" s="64">
        <f t="shared" si="31"/>
        <v>663425.13599999994</v>
      </c>
      <c r="BA86" s="5"/>
      <c r="BB86" s="5"/>
    </row>
    <row r="87" spans="1:54" ht="15.75" customHeight="1">
      <c r="A87" s="5">
        <v>10</v>
      </c>
      <c r="B87" s="34" t="s">
        <v>152</v>
      </c>
      <c r="C87" s="35" t="s">
        <v>393</v>
      </c>
      <c r="D87" s="40" t="s">
        <v>194</v>
      </c>
      <c r="E87" s="42" t="s">
        <v>204</v>
      </c>
      <c r="F87" s="39" t="s">
        <v>285</v>
      </c>
      <c r="G87" s="72">
        <v>17697</v>
      </c>
      <c r="H87" s="89"/>
      <c r="I87" s="8"/>
      <c r="J87" s="89">
        <v>1</v>
      </c>
      <c r="K87" s="9"/>
      <c r="L87" s="90">
        <v>2.89</v>
      </c>
      <c r="M87" s="9"/>
      <c r="N87" s="64">
        <f t="shared" si="28"/>
        <v>51144.33</v>
      </c>
      <c r="O87" s="7"/>
      <c r="P87" s="7"/>
      <c r="Q87" s="64">
        <f t="shared" si="29"/>
        <v>51144.33</v>
      </c>
      <c r="R87" s="64">
        <f t="shared" si="25"/>
        <v>10423.532999999999</v>
      </c>
      <c r="S87" s="7"/>
      <c r="T87" s="7"/>
      <c r="U87" s="7"/>
      <c r="V87" s="10"/>
      <c r="W87" s="7"/>
      <c r="X87" s="10"/>
      <c r="Y87" s="10"/>
      <c r="Z87" s="11"/>
      <c r="AA87" s="10"/>
      <c r="AB87" s="10"/>
      <c r="AC87" s="10"/>
      <c r="AD87" s="93">
        <v>0.3</v>
      </c>
      <c r="AE87" s="67">
        <f>G87*AD87</f>
        <v>5309.0999999999995</v>
      </c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68">
        <v>0.1</v>
      </c>
      <c r="AW87" s="64">
        <f t="shared" si="30"/>
        <v>5114.4330000000009</v>
      </c>
      <c r="AX87" s="64">
        <f t="shared" si="26"/>
        <v>61567.862999999998</v>
      </c>
      <c r="AY87" s="64">
        <f>N87</f>
        <v>51144.33</v>
      </c>
      <c r="AZ87" s="64">
        <f t="shared" si="31"/>
        <v>738814.35599999991</v>
      </c>
      <c r="BA87" s="5"/>
      <c r="BB87" s="5"/>
    </row>
    <row r="88" spans="1:54" ht="15.75" customHeight="1">
      <c r="A88" s="5">
        <v>11</v>
      </c>
      <c r="B88" s="34" t="s">
        <v>153</v>
      </c>
      <c r="C88" s="35" t="s">
        <v>394</v>
      </c>
      <c r="D88" s="40" t="s">
        <v>194</v>
      </c>
      <c r="E88" s="42" t="s">
        <v>232</v>
      </c>
      <c r="F88" s="39" t="s">
        <v>285</v>
      </c>
      <c r="G88" s="72">
        <v>17697</v>
      </c>
      <c r="H88" s="88"/>
      <c r="I88" s="8"/>
      <c r="J88" s="88">
        <v>1</v>
      </c>
      <c r="K88" s="9"/>
      <c r="L88" s="90">
        <v>2.89</v>
      </c>
      <c r="M88" s="9"/>
      <c r="N88" s="64">
        <f t="shared" si="28"/>
        <v>51144.33</v>
      </c>
      <c r="O88" s="7"/>
      <c r="P88" s="7"/>
      <c r="Q88" s="64">
        <f t="shared" si="29"/>
        <v>51144.33</v>
      </c>
      <c r="R88" s="64">
        <f t="shared" si="25"/>
        <v>8653.8330000000005</v>
      </c>
      <c r="S88" s="7"/>
      <c r="T88" s="7"/>
      <c r="U88" s="7"/>
      <c r="V88" s="10"/>
      <c r="W88" s="7"/>
      <c r="X88" s="10"/>
      <c r="Y88" s="10"/>
      <c r="Z88" s="11"/>
      <c r="AA88" s="10"/>
      <c r="AB88" s="10"/>
      <c r="AC88" s="10"/>
      <c r="AD88" s="93">
        <v>0.2</v>
      </c>
      <c r="AE88" s="67">
        <f>G88*AD88</f>
        <v>3539.4</v>
      </c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68">
        <v>0.1</v>
      </c>
      <c r="AW88" s="64">
        <f t="shared" si="30"/>
        <v>5114.4330000000009</v>
      </c>
      <c r="AX88" s="64">
        <f t="shared" si="26"/>
        <v>59798.163</v>
      </c>
      <c r="AY88" s="64">
        <f>Q88</f>
        <v>51144.33</v>
      </c>
      <c r="AZ88" s="64">
        <f t="shared" si="31"/>
        <v>717577.95600000001</v>
      </c>
      <c r="BA88" s="5"/>
      <c r="BB88" s="5"/>
    </row>
    <row r="89" spans="1:54" ht="15.75" customHeight="1">
      <c r="A89" s="5">
        <v>12</v>
      </c>
      <c r="B89" s="34" t="s">
        <v>154</v>
      </c>
      <c r="C89" s="35" t="s">
        <v>183</v>
      </c>
      <c r="D89" s="40" t="s">
        <v>195</v>
      </c>
      <c r="E89" s="42" t="s">
        <v>196</v>
      </c>
      <c r="F89" s="39" t="s">
        <v>287</v>
      </c>
      <c r="G89" s="72">
        <v>17697</v>
      </c>
      <c r="H89" s="88"/>
      <c r="I89" s="8"/>
      <c r="J89" s="88">
        <v>1</v>
      </c>
      <c r="K89" s="9"/>
      <c r="L89" s="90">
        <v>2.81</v>
      </c>
      <c r="M89" s="9"/>
      <c r="N89" s="64">
        <f t="shared" si="28"/>
        <v>49728.57</v>
      </c>
      <c r="O89" s="7"/>
      <c r="P89" s="7"/>
      <c r="Q89" s="64">
        <f t="shared" si="29"/>
        <v>49728.57</v>
      </c>
      <c r="R89" s="64">
        <f t="shared" si="25"/>
        <v>16274.804727272727</v>
      </c>
      <c r="S89" s="7"/>
      <c r="T89" s="7"/>
      <c r="U89" s="7"/>
      <c r="V89" s="10"/>
      <c r="W89" s="7"/>
      <c r="X89" s="10"/>
      <c r="Y89" s="10"/>
      <c r="Z89" s="11"/>
      <c r="AA89" s="10"/>
      <c r="AB89" s="10"/>
      <c r="AC89" s="10"/>
      <c r="AD89" s="93"/>
      <c r="AE89" s="67"/>
      <c r="AF89" s="93">
        <v>0.5</v>
      </c>
      <c r="AG89" s="67">
        <f>(N89/176)*80*AF89</f>
        <v>11301.947727272727</v>
      </c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68">
        <v>0.1</v>
      </c>
      <c r="AW89" s="64">
        <f t="shared" si="30"/>
        <v>4972.857</v>
      </c>
      <c r="AX89" s="64">
        <f t="shared" si="26"/>
        <v>66003.37472727272</v>
      </c>
      <c r="AY89" s="7"/>
      <c r="AZ89" s="64">
        <f t="shared" si="31"/>
        <v>792040.49672727264</v>
      </c>
      <c r="BA89" s="5"/>
      <c r="BB89" s="5"/>
    </row>
    <row r="90" spans="1:54" ht="15.75" customHeight="1">
      <c r="A90" s="5">
        <v>13</v>
      </c>
      <c r="B90" s="34" t="s">
        <v>155</v>
      </c>
      <c r="C90" s="35" t="s">
        <v>183</v>
      </c>
      <c r="D90" s="40" t="s">
        <v>192</v>
      </c>
      <c r="E90" s="42" t="s">
        <v>269</v>
      </c>
      <c r="F90" s="39" t="s">
        <v>287</v>
      </c>
      <c r="G90" s="72">
        <v>17697</v>
      </c>
      <c r="H90" s="88"/>
      <c r="I90" s="8"/>
      <c r="J90" s="88">
        <v>1</v>
      </c>
      <c r="K90" s="9"/>
      <c r="L90" s="90">
        <v>2.81</v>
      </c>
      <c r="M90" s="9"/>
      <c r="N90" s="64">
        <f t="shared" si="28"/>
        <v>49728.57</v>
      </c>
      <c r="O90" s="7"/>
      <c r="P90" s="7"/>
      <c r="Q90" s="64">
        <f t="shared" si="29"/>
        <v>49728.57</v>
      </c>
      <c r="R90" s="64">
        <f t="shared" si="25"/>
        <v>16274.804727272727</v>
      </c>
      <c r="S90" s="7"/>
      <c r="T90" s="7"/>
      <c r="U90" s="7"/>
      <c r="V90" s="10"/>
      <c r="W90" s="7"/>
      <c r="X90" s="10"/>
      <c r="Y90" s="10"/>
      <c r="Z90" s="11"/>
      <c r="AA90" s="10"/>
      <c r="AB90" s="10"/>
      <c r="AC90" s="10"/>
      <c r="AD90" s="93"/>
      <c r="AE90" s="67"/>
      <c r="AF90" s="93">
        <v>0.5</v>
      </c>
      <c r="AG90" s="67">
        <f t="shared" ref="AG90:AG94" si="32">(N90/176)*80*AF90</f>
        <v>11301.947727272727</v>
      </c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68">
        <v>0.1</v>
      </c>
      <c r="AW90" s="64">
        <f t="shared" si="30"/>
        <v>4972.857</v>
      </c>
      <c r="AX90" s="64">
        <f t="shared" si="26"/>
        <v>66003.37472727272</v>
      </c>
      <c r="AY90" s="7"/>
      <c r="AZ90" s="64">
        <f t="shared" si="31"/>
        <v>792040.49672727264</v>
      </c>
      <c r="BA90" s="5"/>
      <c r="BB90" s="5"/>
    </row>
    <row r="91" spans="1:54" ht="15.75" customHeight="1">
      <c r="A91" s="5">
        <v>14</v>
      </c>
      <c r="B91" s="34" t="s">
        <v>156</v>
      </c>
      <c r="C91" s="35" t="s">
        <v>183</v>
      </c>
      <c r="D91" s="40" t="s">
        <v>195</v>
      </c>
      <c r="E91" s="42" t="s">
        <v>270</v>
      </c>
      <c r="F91" s="39" t="s">
        <v>287</v>
      </c>
      <c r="G91" s="72">
        <v>17697</v>
      </c>
      <c r="H91" s="88"/>
      <c r="I91" s="8"/>
      <c r="J91" s="88">
        <v>1</v>
      </c>
      <c r="K91" s="9"/>
      <c r="L91" s="90">
        <v>2.81</v>
      </c>
      <c r="M91" s="9"/>
      <c r="N91" s="64">
        <f t="shared" si="28"/>
        <v>49728.57</v>
      </c>
      <c r="O91" s="7"/>
      <c r="P91" s="7"/>
      <c r="Q91" s="64">
        <f t="shared" si="29"/>
        <v>49728.57</v>
      </c>
      <c r="R91" s="64">
        <f t="shared" si="25"/>
        <v>16274.804727272727</v>
      </c>
      <c r="S91" s="7"/>
      <c r="T91" s="7"/>
      <c r="U91" s="7"/>
      <c r="V91" s="10"/>
      <c r="W91" s="7"/>
      <c r="X91" s="10"/>
      <c r="Y91" s="10"/>
      <c r="Z91" s="11"/>
      <c r="AA91" s="10"/>
      <c r="AB91" s="10"/>
      <c r="AC91" s="10"/>
      <c r="AD91" s="93"/>
      <c r="AE91" s="67"/>
      <c r="AF91" s="93">
        <v>0.5</v>
      </c>
      <c r="AG91" s="67">
        <f t="shared" si="32"/>
        <v>11301.947727272727</v>
      </c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68">
        <v>0.1</v>
      </c>
      <c r="AW91" s="64">
        <f t="shared" si="30"/>
        <v>4972.857</v>
      </c>
      <c r="AX91" s="64">
        <f t="shared" si="26"/>
        <v>66003.37472727272</v>
      </c>
      <c r="AY91" s="7"/>
      <c r="AZ91" s="64">
        <f t="shared" si="31"/>
        <v>792040.49672727264</v>
      </c>
      <c r="BA91" s="5"/>
      <c r="BB91" s="5"/>
    </row>
    <row r="92" spans="1:54" ht="15.75" customHeight="1">
      <c r="A92" s="5">
        <v>15</v>
      </c>
      <c r="B92" s="34" t="s">
        <v>157</v>
      </c>
      <c r="C92" s="35" t="s">
        <v>183</v>
      </c>
      <c r="D92" s="40" t="s">
        <v>195</v>
      </c>
      <c r="E92" s="42" t="s">
        <v>271</v>
      </c>
      <c r="F92" s="39" t="s">
        <v>287</v>
      </c>
      <c r="G92" s="72">
        <v>17697</v>
      </c>
      <c r="H92" s="88"/>
      <c r="I92" s="8"/>
      <c r="J92" s="88">
        <v>1</v>
      </c>
      <c r="K92" s="9"/>
      <c r="L92" s="90">
        <v>2.81</v>
      </c>
      <c r="M92" s="9"/>
      <c r="N92" s="64">
        <f t="shared" si="28"/>
        <v>49728.57</v>
      </c>
      <c r="O92" s="7"/>
      <c r="P92" s="7"/>
      <c r="Q92" s="64">
        <f t="shared" si="29"/>
        <v>49728.57</v>
      </c>
      <c r="R92" s="64">
        <f t="shared" si="25"/>
        <v>16274.804727272727</v>
      </c>
      <c r="S92" s="7"/>
      <c r="T92" s="7"/>
      <c r="U92" s="7"/>
      <c r="V92" s="10"/>
      <c r="W92" s="7"/>
      <c r="X92" s="10"/>
      <c r="Y92" s="10"/>
      <c r="Z92" s="11"/>
      <c r="AA92" s="10"/>
      <c r="AB92" s="10"/>
      <c r="AC92" s="10"/>
      <c r="AD92" s="93"/>
      <c r="AE92" s="67"/>
      <c r="AF92" s="93">
        <v>0.5</v>
      </c>
      <c r="AG92" s="67">
        <f t="shared" si="32"/>
        <v>11301.947727272727</v>
      </c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68">
        <v>0.1</v>
      </c>
      <c r="AW92" s="64">
        <f t="shared" si="30"/>
        <v>4972.857</v>
      </c>
      <c r="AX92" s="64">
        <f t="shared" si="26"/>
        <v>66003.37472727272</v>
      </c>
      <c r="AY92" s="7"/>
      <c r="AZ92" s="64">
        <f t="shared" si="31"/>
        <v>792040.49672727264</v>
      </c>
      <c r="BA92" s="5"/>
      <c r="BB92" s="5"/>
    </row>
    <row r="93" spans="1:54" ht="15.75" customHeight="1">
      <c r="A93" s="5">
        <v>16</v>
      </c>
      <c r="B93" s="34" t="s">
        <v>158</v>
      </c>
      <c r="C93" s="35" t="s">
        <v>183</v>
      </c>
      <c r="D93" s="40" t="s">
        <v>195</v>
      </c>
      <c r="E93" s="42" t="s">
        <v>270</v>
      </c>
      <c r="F93" s="39" t="s">
        <v>287</v>
      </c>
      <c r="G93" s="72">
        <v>17697</v>
      </c>
      <c r="H93" s="88"/>
      <c r="I93" s="8"/>
      <c r="J93" s="88">
        <v>1</v>
      </c>
      <c r="K93" s="9"/>
      <c r="L93" s="90">
        <v>2.81</v>
      </c>
      <c r="M93" s="9"/>
      <c r="N93" s="64">
        <f t="shared" si="28"/>
        <v>49728.57</v>
      </c>
      <c r="O93" s="7"/>
      <c r="P93" s="7"/>
      <c r="Q93" s="64">
        <f t="shared" si="29"/>
        <v>49728.57</v>
      </c>
      <c r="R93" s="64">
        <f t="shared" si="25"/>
        <v>16274.804727272727</v>
      </c>
      <c r="S93" s="7"/>
      <c r="T93" s="7"/>
      <c r="U93" s="7"/>
      <c r="V93" s="10"/>
      <c r="W93" s="7"/>
      <c r="X93" s="10"/>
      <c r="Y93" s="10"/>
      <c r="Z93" s="11"/>
      <c r="AA93" s="10"/>
      <c r="AB93" s="10"/>
      <c r="AC93" s="10"/>
      <c r="AD93" s="93"/>
      <c r="AE93" s="67"/>
      <c r="AF93" s="93">
        <v>0.5</v>
      </c>
      <c r="AG93" s="67">
        <f t="shared" si="32"/>
        <v>11301.947727272727</v>
      </c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68">
        <v>0.1</v>
      </c>
      <c r="AW93" s="64">
        <f t="shared" si="30"/>
        <v>4972.857</v>
      </c>
      <c r="AX93" s="64">
        <f t="shared" si="26"/>
        <v>66003.37472727272</v>
      </c>
      <c r="AY93" s="7"/>
      <c r="AZ93" s="64">
        <f t="shared" si="31"/>
        <v>792040.49672727264</v>
      </c>
      <c r="BA93" s="5"/>
      <c r="BB93" s="5"/>
    </row>
    <row r="94" spans="1:54" ht="15.75" customHeight="1">
      <c r="A94" s="5">
        <v>17</v>
      </c>
      <c r="B94" s="34" t="s">
        <v>159</v>
      </c>
      <c r="C94" s="35" t="s">
        <v>183</v>
      </c>
      <c r="D94" s="40" t="s">
        <v>195</v>
      </c>
      <c r="E94" s="42" t="s">
        <v>272</v>
      </c>
      <c r="F94" s="39" t="s">
        <v>287</v>
      </c>
      <c r="G94" s="72">
        <v>17697</v>
      </c>
      <c r="H94" s="88"/>
      <c r="I94" s="8"/>
      <c r="J94" s="88">
        <v>1</v>
      </c>
      <c r="K94" s="9"/>
      <c r="L94" s="90">
        <v>2.81</v>
      </c>
      <c r="M94" s="9"/>
      <c r="N94" s="64">
        <f t="shared" si="28"/>
        <v>49728.57</v>
      </c>
      <c r="O94" s="7"/>
      <c r="P94" s="7"/>
      <c r="Q94" s="64">
        <f t="shared" si="29"/>
        <v>49728.57</v>
      </c>
      <c r="R94" s="64">
        <f t="shared" si="25"/>
        <v>16274.804727272727</v>
      </c>
      <c r="S94" s="7"/>
      <c r="T94" s="7"/>
      <c r="U94" s="7"/>
      <c r="V94" s="10"/>
      <c r="W94" s="7"/>
      <c r="X94" s="10"/>
      <c r="Y94" s="10"/>
      <c r="Z94" s="11"/>
      <c r="AA94" s="10"/>
      <c r="AB94" s="10"/>
      <c r="AC94" s="10"/>
      <c r="AD94" s="93"/>
      <c r="AE94" s="67"/>
      <c r="AF94" s="93">
        <v>0.5</v>
      </c>
      <c r="AG94" s="67">
        <f t="shared" si="32"/>
        <v>11301.947727272727</v>
      </c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68">
        <v>0.1</v>
      </c>
      <c r="AW94" s="64">
        <f t="shared" si="30"/>
        <v>4972.857</v>
      </c>
      <c r="AX94" s="64">
        <f t="shared" si="26"/>
        <v>66003.37472727272</v>
      </c>
      <c r="AY94" s="7"/>
      <c r="AZ94" s="64">
        <f t="shared" si="31"/>
        <v>792040.49672727264</v>
      </c>
      <c r="BA94" s="5"/>
      <c r="BB94" s="5"/>
    </row>
    <row r="95" spans="1:54" ht="15.75" customHeight="1">
      <c r="A95" s="5">
        <v>18</v>
      </c>
      <c r="B95" s="34" t="s">
        <v>289</v>
      </c>
      <c r="C95" s="35" t="s">
        <v>184</v>
      </c>
      <c r="D95" s="40" t="s">
        <v>195</v>
      </c>
      <c r="E95" s="42" t="s">
        <v>215</v>
      </c>
      <c r="F95" s="39" t="s">
        <v>287</v>
      </c>
      <c r="G95" s="72">
        <v>17697</v>
      </c>
      <c r="H95" s="88"/>
      <c r="I95" s="8"/>
      <c r="J95" s="88">
        <v>1</v>
      </c>
      <c r="K95" s="9"/>
      <c r="L95" s="90">
        <v>2.81</v>
      </c>
      <c r="M95" s="9"/>
      <c r="N95" s="64">
        <f t="shared" si="28"/>
        <v>49728.57</v>
      </c>
      <c r="O95" s="7"/>
      <c r="P95" s="7"/>
      <c r="Q95" s="64">
        <f t="shared" si="29"/>
        <v>49728.57</v>
      </c>
      <c r="R95" s="64">
        <f t="shared" si="25"/>
        <v>10281.956999999999</v>
      </c>
      <c r="S95" s="7"/>
      <c r="T95" s="7"/>
      <c r="U95" s="7"/>
      <c r="V95" s="10"/>
      <c r="W95" s="7"/>
      <c r="X95" s="10"/>
      <c r="Y95" s="10"/>
      <c r="Z95" s="11"/>
      <c r="AA95" s="10"/>
      <c r="AB95" s="10"/>
      <c r="AC95" s="10"/>
      <c r="AD95" s="93">
        <v>0.3</v>
      </c>
      <c r="AE95" s="67">
        <f>G96*AD95</f>
        <v>5309.0999999999995</v>
      </c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68">
        <v>0.1</v>
      </c>
      <c r="AW95" s="64">
        <f t="shared" si="30"/>
        <v>4972.857</v>
      </c>
      <c r="AX95" s="64">
        <f t="shared" si="26"/>
        <v>60010.527000000002</v>
      </c>
      <c r="AY95" s="7"/>
      <c r="AZ95" s="64">
        <f t="shared" si="31"/>
        <v>720126.32400000002</v>
      </c>
      <c r="BA95" s="5"/>
      <c r="BB95" s="5"/>
    </row>
    <row r="96" spans="1:54" ht="15.75" customHeight="1">
      <c r="A96" s="5">
        <v>19</v>
      </c>
      <c r="B96" s="34" t="s">
        <v>160</v>
      </c>
      <c r="C96" s="35" t="s">
        <v>184</v>
      </c>
      <c r="D96" s="40" t="s">
        <v>195</v>
      </c>
      <c r="E96" s="42" t="s">
        <v>234</v>
      </c>
      <c r="F96" s="39" t="s">
        <v>287</v>
      </c>
      <c r="G96" s="72">
        <v>17697</v>
      </c>
      <c r="H96" s="88"/>
      <c r="I96" s="8"/>
      <c r="J96" s="88">
        <v>1</v>
      </c>
      <c r="K96" s="9"/>
      <c r="L96" s="90">
        <v>2.81</v>
      </c>
      <c r="M96" s="9"/>
      <c r="N96" s="64">
        <f t="shared" si="28"/>
        <v>49728.57</v>
      </c>
      <c r="O96" s="7"/>
      <c r="P96" s="7"/>
      <c r="Q96" s="64">
        <f t="shared" si="29"/>
        <v>49728.57</v>
      </c>
      <c r="R96" s="64">
        <f t="shared" si="25"/>
        <v>10281.956999999999</v>
      </c>
      <c r="S96" s="7"/>
      <c r="T96" s="7"/>
      <c r="U96" s="7"/>
      <c r="V96" s="10"/>
      <c r="W96" s="7"/>
      <c r="X96" s="10"/>
      <c r="Y96" s="10"/>
      <c r="Z96" s="11"/>
      <c r="AA96" s="10"/>
      <c r="AB96" s="10"/>
      <c r="AC96" s="10"/>
      <c r="AD96" s="93">
        <v>0.3</v>
      </c>
      <c r="AE96" s="67">
        <f>G96*AD96</f>
        <v>5309.0999999999995</v>
      </c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68">
        <v>0.1</v>
      </c>
      <c r="AW96" s="64">
        <f t="shared" si="30"/>
        <v>4972.857</v>
      </c>
      <c r="AX96" s="64">
        <f t="shared" si="26"/>
        <v>60010.527000000002</v>
      </c>
      <c r="AY96" s="7"/>
      <c r="AZ96" s="64">
        <f t="shared" si="31"/>
        <v>720126.32400000002</v>
      </c>
      <c r="BA96" s="5"/>
      <c r="BB96" s="5"/>
    </row>
    <row r="97" spans="1:54" ht="15.75" customHeight="1">
      <c r="A97" s="5">
        <v>20</v>
      </c>
      <c r="B97" s="34" t="s">
        <v>397</v>
      </c>
      <c r="C97" s="35" t="s">
        <v>185</v>
      </c>
      <c r="D97" s="40" t="s">
        <v>195</v>
      </c>
      <c r="E97" s="42" t="s">
        <v>224</v>
      </c>
      <c r="F97" s="39" t="s">
        <v>287</v>
      </c>
      <c r="G97" s="72">
        <v>17697</v>
      </c>
      <c r="H97" s="88"/>
      <c r="I97" s="8"/>
      <c r="J97" s="88">
        <v>1</v>
      </c>
      <c r="K97" s="9"/>
      <c r="L97" s="90">
        <v>2.81</v>
      </c>
      <c r="M97" s="9"/>
      <c r="N97" s="64">
        <f t="shared" si="28"/>
        <v>49728.57</v>
      </c>
      <c r="O97" s="7"/>
      <c r="P97" s="7"/>
      <c r="Q97" s="64">
        <f t="shared" si="29"/>
        <v>49728.57</v>
      </c>
      <c r="R97" s="64">
        <f t="shared" si="25"/>
        <v>8512.2569999999996</v>
      </c>
      <c r="S97" s="7"/>
      <c r="T97" s="7"/>
      <c r="U97" s="7"/>
      <c r="V97" s="10"/>
      <c r="W97" s="7"/>
      <c r="X97" s="10"/>
      <c r="Y97" s="10"/>
      <c r="Z97" s="11"/>
      <c r="AA97" s="10"/>
      <c r="AB97" s="10"/>
      <c r="AC97" s="10"/>
      <c r="AD97" s="93">
        <v>0.2</v>
      </c>
      <c r="AE97" s="67">
        <f>G97*AD97</f>
        <v>3539.4</v>
      </c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68">
        <v>0.1</v>
      </c>
      <c r="AW97" s="64">
        <f t="shared" si="30"/>
        <v>4972.857</v>
      </c>
      <c r="AX97" s="64">
        <f t="shared" si="26"/>
        <v>58240.826999999997</v>
      </c>
      <c r="AY97" s="7"/>
      <c r="AZ97" s="64">
        <f t="shared" si="31"/>
        <v>698889.924</v>
      </c>
      <c r="BA97" s="5"/>
      <c r="BB97" s="5"/>
    </row>
    <row r="98" spans="1:54" ht="15.75" customHeight="1">
      <c r="A98" s="5">
        <v>21</v>
      </c>
      <c r="B98" s="34" t="s">
        <v>161</v>
      </c>
      <c r="C98" s="35" t="s">
        <v>185</v>
      </c>
      <c r="D98" s="40" t="s">
        <v>195</v>
      </c>
      <c r="E98" s="42" t="s">
        <v>273</v>
      </c>
      <c r="F98" s="39" t="s">
        <v>287</v>
      </c>
      <c r="G98" s="72">
        <v>17697</v>
      </c>
      <c r="H98" s="88"/>
      <c r="I98" s="8"/>
      <c r="J98" s="88">
        <v>1</v>
      </c>
      <c r="K98" s="9"/>
      <c r="L98" s="90">
        <v>2.81</v>
      </c>
      <c r="M98" s="9"/>
      <c r="N98" s="64">
        <f t="shared" si="28"/>
        <v>49728.57</v>
      </c>
      <c r="O98" s="7"/>
      <c r="P98" s="7"/>
      <c r="Q98" s="64">
        <f t="shared" si="29"/>
        <v>49728.57</v>
      </c>
      <c r="R98" s="64">
        <f t="shared" si="25"/>
        <v>8512.2569999999996</v>
      </c>
      <c r="S98" s="7"/>
      <c r="T98" s="7"/>
      <c r="U98" s="7"/>
      <c r="V98" s="10"/>
      <c r="W98" s="7"/>
      <c r="X98" s="10"/>
      <c r="Y98" s="10"/>
      <c r="Z98" s="11"/>
      <c r="AA98" s="10"/>
      <c r="AB98" s="10"/>
      <c r="AC98" s="10"/>
      <c r="AD98" s="93">
        <v>0.2</v>
      </c>
      <c r="AE98" s="67">
        <f t="shared" ref="AE98:AE106" si="33">G98*AD98</f>
        <v>3539.4</v>
      </c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68">
        <v>0.1</v>
      </c>
      <c r="AW98" s="64">
        <f t="shared" si="30"/>
        <v>4972.857</v>
      </c>
      <c r="AX98" s="64">
        <f t="shared" si="26"/>
        <v>58240.826999999997</v>
      </c>
      <c r="AY98" s="7"/>
      <c r="AZ98" s="64">
        <f t="shared" si="31"/>
        <v>698889.924</v>
      </c>
      <c r="BA98" s="5"/>
      <c r="BB98" s="5"/>
    </row>
    <row r="99" spans="1:54" ht="15.75" customHeight="1">
      <c r="A99" s="5">
        <v>22</v>
      </c>
      <c r="B99" s="34" t="s">
        <v>162</v>
      </c>
      <c r="C99" s="35" t="s">
        <v>185</v>
      </c>
      <c r="D99" s="40" t="s">
        <v>195</v>
      </c>
      <c r="E99" s="42" t="s">
        <v>274</v>
      </c>
      <c r="F99" s="39" t="s">
        <v>287</v>
      </c>
      <c r="G99" s="72">
        <v>17697</v>
      </c>
      <c r="H99" s="88"/>
      <c r="I99" s="8"/>
      <c r="J99" s="88">
        <v>1</v>
      </c>
      <c r="K99" s="9"/>
      <c r="L99" s="90">
        <v>2.81</v>
      </c>
      <c r="M99" s="9"/>
      <c r="N99" s="64">
        <f t="shared" si="28"/>
        <v>49728.57</v>
      </c>
      <c r="O99" s="7"/>
      <c r="P99" s="7"/>
      <c r="Q99" s="64">
        <f t="shared" si="29"/>
        <v>49728.57</v>
      </c>
      <c r="R99" s="64">
        <f t="shared" si="25"/>
        <v>8512.2569999999996</v>
      </c>
      <c r="S99" s="7"/>
      <c r="T99" s="7"/>
      <c r="U99" s="7"/>
      <c r="V99" s="10"/>
      <c r="W99" s="7"/>
      <c r="X99" s="10"/>
      <c r="Y99" s="10"/>
      <c r="Z99" s="11"/>
      <c r="AA99" s="10"/>
      <c r="AB99" s="10"/>
      <c r="AC99" s="10"/>
      <c r="AD99" s="93">
        <v>0.2</v>
      </c>
      <c r="AE99" s="67">
        <f t="shared" si="33"/>
        <v>3539.4</v>
      </c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68">
        <v>0.1</v>
      </c>
      <c r="AW99" s="64">
        <f t="shared" si="30"/>
        <v>4972.857</v>
      </c>
      <c r="AX99" s="64">
        <f t="shared" si="26"/>
        <v>58240.826999999997</v>
      </c>
      <c r="AY99" s="7"/>
      <c r="AZ99" s="64">
        <f t="shared" si="31"/>
        <v>698889.924</v>
      </c>
      <c r="BA99" s="5"/>
      <c r="BB99" s="5"/>
    </row>
    <row r="100" spans="1:54" ht="15.75" customHeight="1">
      <c r="A100" s="5">
        <v>23</v>
      </c>
      <c r="B100" s="34" t="s">
        <v>163</v>
      </c>
      <c r="C100" s="35" t="s">
        <v>185</v>
      </c>
      <c r="D100" s="40" t="s">
        <v>195</v>
      </c>
      <c r="E100" s="42" t="s">
        <v>275</v>
      </c>
      <c r="F100" s="39" t="s">
        <v>287</v>
      </c>
      <c r="G100" s="72">
        <v>17697</v>
      </c>
      <c r="H100" s="88"/>
      <c r="I100" s="8"/>
      <c r="J100" s="88">
        <v>1</v>
      </c>
      <c r="K100" s="9"/>
      <c r="L100" s="90">
        <v>2.81</v>
      </c>
      <c r="M100" s="9"/>
      <c r="N100" s="64">
        <f t="shared" si="28"/>
        <v>49728.57</v>
      </c>
      <c r="O100" s="7"/>
      <c r="P100" s="7"/>
      <c r="Q100" s="64">
        <f t="shared" si="29"/>
        <v>49728.57</v>
      </c>
      <c r="R100" s="64">
        <f t="shared" si="25"/>
        <v>8512.2569999999996</v>
      </c>
      <c r="S100" s="7"/>
      <c r="T100" s="7"/>
      <c r="U100" s="7"/>
      <c r="V100" s="10"/>
      <c r="W100" s="7"/>
      <c r="X100" s="10"/>
      <c r="Y100" s="10"/>
      <c r="Z100" s="11"/>
      <c r="AA100" s="10"/>
      <c r="AB100" s="10"/>
      <c r="AC100" s="10"/>
      <c r="AD100" s="93">
        <v>0.2</v>
      </c>
      <c r="AE100" s="67">
        <f t="shared" si="33"/>
        <v>3539.4</v>
      </c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68">
        <v>0.1</v>
      </c>
      <c r="AW100" s="64">
        <f t="shared" si="30"/>
        <v>4972.857</v>
      </c>
      <c r="AX100" s="64">
        <f t="shared" si="26"/>
        <v>58240.826999999997</v>
      </c>
      <c r="AY100" s="7"/>
      <c r="AZ100" s="64">
        <f t="shared" si="31"/>
        <v>698889.924</v>
      </c>
      <c r="BA100" s="5"/>
      <c r="BB100" s="5"/>
    </row>
    <row r="101" spans="1:54" ht="15.75" customHeight="1">
      <c r="A101" s="5">
        <v>24</v>
      </c>
      <c r="B101" s="34" t="s">
        <v>164</v>
      </c>
      <c r="C101" s="35" t="s">
        <v>185</v>
      </c>
      <c r="D101" s="40" t="s">
        <v>195</v>
      </c>
      <c r="E101" s="42" t="s">
        <v>205</v>
      </c>
      <c r="F101" s="39" t="s">
        <v>287</v>
      </c>
      <c r="G101" s="72">
        <v>17697</v>
      </c>
      <c r="H101" s="89"/>
      <c r="I101" s="8"/>
      <c r="J101" s="89">
        <v>1</v>
      </c>
      <c r="K101" s="9"/>
      <c r="L101" s="90">
        <v>2.81</v>
      </c>
      <c r="M101" s="9"/>
      <c r="N101" s="64">
        <f t="shared" si="28"/>
        <v>49728.57</v>
      </c>
      <c r="O101" s="7"/>
      <c r="P101" s="7"/>
      <c r="Q101" s="64">
        <f t="shared" si="29"/>
        <v>49728.57</v>
      </c>
      <c r="R101" s="64">
        <f t="shared" si="25"/>
        <v>8512.2569999999996</v>
      </c>
      <c r="S101" s="7"/>
      <c r="T101" s="7"/>
      <c r="U101" s="7"/>
      <c r="V101" s="10"/>
      <c r="W101" s="7"/>
      <c r="X101" s="10"/>
      <c r="Y101" s="10"/>
      <c r="Z101" s="11"/>
      <c r="AA101" s="10"/>
      <c r="AB101" s="10"/>
      <c r="AC101" s="10"/>
      <c r="AD101" s="93">
        <v>0.2</v>
      </c>
      <c r="AE101" s="67">
        <f t="shared" si="33"/>
        <v>3539.4</v>
      </c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68">
        <v>0.1</v>
      </c>
      <c r="AW101" s="64">
        <f t="shared" si="30"/>
        <v>4972.857</v>
      </c>
      <c r="AX101" s="64">
        <f t="shared" si="26"/>
        <v>58240.826999999997</v>
      </c>
      <c r="AY101" s="7"/>
      <c r="AZ101" s="64">
        <f t="shared" si="31"/>
        <v>698889.924</v>
      </c>
      <c r="BA101" s="5"/>
      <c r="BB101" s="5"/>
    </row>
    <row r="102" spans="1:54" ht="15.75" customHeight="1">
      <c r="A102" s="5">
        <v>25</v>
      </c>
      <c r="B102" s="34" t="s">
        <v>165</v>
      </c>
      <c r="C102" s="35" t="s">
        <v>185</v>
      </c>
      <c r="D102" s="40" t="s">
        <v>192</v>
      </c>
      <c r="E102" s="42" t="s">
        <v>273</v>
      </c>
      <c r="F102" s="39" t="s">
        <v>287</v>
      </c>
      <c r="G102" s="72">
        <v>17697</v>
      </c>
      <c r="H102" s="88"/>
      <c r="I102" s="8"/>
      <c r="J102" s="88">
        <v>1</v>
      </c>
      <c r="K102" s="9"/>
      <c r="L102" s="90">
        <v>2.81</v>
      </c>
      <c r="M102" s="9"/>
      <c r="N102" s="64">
        <f t="shared" si="28"/>
        <v>49728.57</v>
      </c>
      <c r="O102" s="7"/>
      <c r="P102" s="7"/>
      <c r="Q102" s="64">
        <f t="shared" si="29"/>
        <v>49728.57</v>
      </c>
      <c r="R102" s="64">
        <f t="shared" si="25"/>
        <v>8512.2569999999996</v>
      </c>
      <c r="S102" s="7"/>
      <c r="T102" s="7"/>
      <c r="U102" s="7"/>
      <c r="V102" s="10"/>
      <c r="W102" s="7"/>
      <c r="X102" s="10"/>
      <c r="Y102" s="10"/>
      <c r="Z102" s="11"/>
      <c r="AA102" s="10"/>
      <c r="AB102" s="10"/>
      <c r="AC102" s="10"/>
      <c r="AD102" s="93">
        <v>0.2</v>
      </c>
      <c r="AE102" s="67">
        <f t="shared" si="33"/>
        <v>3539.4</v>
      </c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68">
        <v>0.1</v>
      </c>
      <c r="AW102" s="64">
        <f t="shared" si="30"/>
        <v>4972.857</v>
      </c>
      <c r="AX102" s="64">
        <f t="shared" si="26"/>
        <v>58240.826999999997</v>
      </c>
      <c r="AY102" s="7"/>
      <c r="AZ102" s="64">
        <f t="shared" si="31"/>
        <v>698889.924</v>
      </c>
      <c r="BA102" s="5"/>
      <c r="BB102" s="5"/>
    </row>
    <row r="103" spans="1:54" ht="15.75" customHeight="1">
      <c r="A103" s="5">
        <v>26</v>
      </c>
      <c r="B103" s="34" t="s">
        <v>166</v>
      </c>
      <c r="C103" s="35" t="s">
        <v>185</v>
      </c>
      <c r="D103" s="40" t="s">
        <v>195</v>
      </c>
      <c r="E103" s="42" t="s">
        <v>228</v>
      </c>
      <c r="F103" s="39" t="s">
        <v>287</v>
      </c>
      <c r="G103" s="72">
        <v>17697</v>
      </c>
      <c r="H103" s="89"/>
      <c r="I103" s="8"/>
      <c r="J103" s="89">
        <v>1</v>
      </c>
      <c r="K103" s="9"/>
      <c r="L103" s="90">
        <v>2.81</v>
      </c>
      <c r="M103" s="9"/>
      <c r="N103" s="64">
        <f t="shared" si="28"/>
        <v>49728.57</v>
      </c>
      <c r="O103" s="7"/>
      <c r="P103" s="7"/>
      <c r="Q103" s="64">
        <f t="shared" si="29"/>
        <v>49728.57</v>
      </c>
      <c r="R103" s="64">
        <f t="shared" si="25"/>
        <v>8512.2569999999996</v>
      </c>
      <c r="S103" s="7"/>
      <c r="T103" s="7"/>
      <c r="U103" s="7"/>
      <c r="V103" s="10"/>
      <c r="W103" s="7"/>
      <c r="X103" s="10"/>
      <c r="Y103" s="10"/>
      <c r="Z103" s="11"/>
      <c r="AA103" s="10"/>
      <c r="AB103" s="10"/>
      <c r="AC103" s="10"/>
      <c r="AD103" s="93">
        <v>0.2</v>
      </c>
      <c r="AE103" s="67">
        <f t="shared" si="33"/>
        <v>3539.4</v>
      </c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68">
        <v>0.1</v>
      </c>
      <c r="AW103" s="64">
        <f t="shared" si="30"/>
        <v>4972.857</v>
      </c>
      <c r="AX103" s="64">
        <f t="shared" si="26"/>
        <v>58240.826999999997</v>
      </c>
      <c r="AY103" s="7"/>
      <c r="AZ103" s="64">
        <f t="shared" si="31"/>
        <v>698889.924</v>
      </c>
      <c r="BA103" s="5"/>
      <c r="BB103" s="5"/>
    </row>
    <row r="104" spans="1:54" ht="15.75" customHeight="1">
      <c r="A104" s="5">
        <v>27</v>
      </c>
      <c r="B104" s="34" t="s">
        <v>167</v>
      </c>
      <c r="C104" s="35" t="s">
        <v>185</v>
      </c>
      <c r="D104" s="40" t="s">
        <v>195</v>
      </c>
      <c r="E104" s="42" t="s">
        <v>217</v>
      </c>
      <c r="F104" s="39" t="s">
        <v>287</v>
      </c>
      <c r="G104" s="72">
        <v>17697</v>
      </c>
      <c r="H104" s="89"/>
      <c r="I104" s="8"/>
      <c r="J104" s="89">
        <v>1</v>
      </c>
      <c r="K104" s="9"/>
      <c r="L104" s="90">
        <v>2.81</v>
      </c>
      <c r="M104" s="9"/>
      <c r="N104" s="64">
        <f t="shared" si="28"/>
        <v>49728.57</v>
      </c>
      <c r="O104" s="7"/>
      <c r="P104" s="7"/>
      <c r="Q104" s="64">
        <f t="shared" si="29"/>
        <v>49728.57</v>
      </c>
      <c r="R104" s="64">
        <f t="shared" si="25"/>
        <v>8512.2569999999996</v>
      </c>
      <c r="S104" s="7"/>
      <c r="T104" s="7"/>
      <c r="U104" s="7"/>
      <c r="V104" s="10"/>
      <c r="W104" s="7"/>
      <c r="X104" s="10"/>
      <c r="Y104" s="10"/>
      <c r="Z104" s="11"/>
      <c r="AA104" s="10"/>
      <c r="AB104" s="10"/>
      <c r="AC104" s="10"/>
      <c r="AD104" s="93">
        <v>0.2</v>
      </c>
      <c r="AE104" s="67">
        <f t="shared" si="33"/>
        <v>3539.4</v>
      </c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68">
        <v>0.1</v>
      </c>
      <c r="AW104" s="64">
        <f t="shared" si="30"/>
        <v>4972.857</v>
      </c>
      <c r="AX104" s="64">
        <f t="shared" si="26"/>
        <v>58240.826999999997</v>
      </c>
      <c r="AY104" s="7"/>
      <c r="AZ104" s="64">
        <f t="shared" si="31"/>
        <v>698889.924</v>
      </c>
      <c r="BA104" s="5"/>
      <c r="BB104" s="5"/>
    </row>
    <row r="105" spans="1:54" ht="15.75" customHeight="1">
      <c r="A105" s="5">
        <v>28</v>
      </c>
      <c r="B105" s="34" t="s">
        <v>168</v>
      </c>
      <c r="C105" s="35" t="s">
        <v>185</v>
      </c>
      <c r="D105" s="40" t="s">
        <v>195</v>
      </c>
      <c r="E105" s="42" t="s">
        <v>276</v>
      </c>
      <c r="F105" s="39" t="s">
        <v>287</v>
      </c>
      <c r="G105" s="72">
        <v>17697</v>
      </c>
      <c r="H105" s="88"/>
      <c r="I105" s="8"/>
      <c r="J105" s="88">
        <v>1</v>
      </c>
      <c r="K105" s="9"/>
      <c r="L105" s="90">
        <v>2.81</v>
      </c>
      <c r="M105" s="9"/>
      <c r="N105" s="64">
        <f t="shared" si="28"/>
        <v>49728.57</v>
      </c>
      <c r="O105" s="7"/>
      <c r="P105" s="7"/>
      <c r="Q105" s="64">
        <f t="shared" si="29"/>
        <v>49728.57</v>
      </c>
      <c r="R105" s="64">
        <f t="shared" si="25"/>
        <v>8512.2569999999996</v>
      </c>
      <c r="S105" s="7"/>
      <c r="T105" s="7"/>
      <c r="U105" s="7"/>
      <c r="V105" s="10"/>
      <c r="W105" s="7"/>
      <c r="X105" s="10"/>
      <c r="Y105" s="10"/>
      <c r="Z105" s="11"/>
      <c r="AA105" s="10"/>
      <c r="AB105" s="10"/>
      <c r="AC105" s="10"/>
      <c r="AD105" s="93">
        <v>0.2</v>
      </c>
      <c r="AE105" s="67">
        <f t="shared" si="33"/>
        <v>3539.4</v>
      </c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68">
        <v>0.1</v>
      </c>
      <c r="AW105" s="64">
        <f t="shared" si="30"/>
        <v>4972.857</v>
      </c>
      <c r="AX105" s="64">
        <f t="shared" si="26"/>
        <v>58240.826999999997</v>
      </c>
      <c r="AY105" s="7"/>
      <c r="AZ105" s="64">
        <f t="shared" si="31"/>
        <v>698889.924</v>
      </c>
      <c r="BA105" s="5"/>
      <c r="BB105" s="5"/>
    </row>
    <row r="106" spans="1:54" ht="15.75" customHeight="1">
      <c r="A106" s="5">
        <v>29</v>
      </c>
      <c r="B106" s="34" t="s">
        <v>169</v>
      </c>
      <c r="C106" s="35" t="s">
        <v>185</v>
      </c>
      <c r="D106" s="40" t="s">
        <v>195</v>
      </c>
      <c r="E106" s="42" t="s">
        <v>219</v>
      </c>
      <c r="F106" s="39" t="s">
        <v>287</v>
      </c>
      <c r="G106" s="72">
        <v>17697</v>
      </c>
      <c r="H106" s="89"/>
      <c r="I106" s="8"/>
      <c r="J106" s="89">
        <v>1</v>
      </c>
      <c r="K106" s="9"/>
      <c r="L106" s="90">
        <v>2.81</v>
      </c>
      <c r="M106" s="9"/>
      <c r="N106" s="64">
        <f t="shared" si="28"/>
        <v>49728.57</v>
      </c>
      <c r="O106" s="7"/>
      <c r="P106" s="7"/>
      <c r="Q106" s="64">
        <f t="shared" si="29"/>
        <v>49728.57</v>
      </c>
      <c r="R106" s="64">
        <f t="shared" si="25"/>
        <v>8512.2569999999996</v>
      </c>
      <c r="S106" s="7"/>
      <c r="T106" s="7"/>
      <c r="U106" s="7"/>
      <c r="V106" s="10"/>
      <c r="W106" s="7"/>
      <c r="X106" s="10"/>
      <c r="Y106" s="10"/>
      <c r="Z106" s="11"/>
      <c r="AA106" s="10"/>
      <c r="AB106" s="10"/>
      <c r="AC106" s="10"/>
      <c r="AD106" s="93">
        <v>0.2</v>
      </c>
      <c r="AE106" s="67">
        <f t="shared" si="33"/>
        <v>3539.4</v>
      </c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68">
        <v>0.1</v>
      </c>
      <c r="AW106" s="64">
        <f t="shared" si="30"/>
        <v>4972.857</v>
      </c>
      <c r="AX106" s="64">
        <f t="shared" si="26"/>
        <v>58240.826999999997</v>
      </c>
      <c r="AY106" s="7"/>
      <c r="AZ106" s="64">
        <f t="shared" si="31"/>
        <v>698889.924</v>
      </c>
      <c r="BA106" s="5"/>
      <c r="BB106" s="5"/>
    </row>
    <row r="107" spans="1:54" ht="15.75" customHeight="1">
      <c r="A107" s="5">
        <v>30</v>
      </c>
      <c r="B107" s="34" t="s">
        <v>170</v>
      </c>
      <c r="C107" s="35" t="s">
        <v>186</v>
      </c>
      <c r="D107" s="40" t="s">
        <v>195</v>
      </c>
      <c r="E107" s="42" t="s">
        <v>211</v>
      </c>
      <c r="F107" s="39" t="s">
        <v>286</v>
      </c>
      <c r="G107" s="72">
        <v>17697</v>
      </c>
      <c r="H107" s="89"/>
      <c r="I107" s="8"/>
      <c r="J107" s="89">
        <v>1</v>
      </c>
      <c r="K107" s="9"/>
      <c r="L107" s="90">
        <v>2.84</v>
      </c>
      <c r="M107" s="9"/>
      <c r="N107" s="64">
        <f t="shared" si="28"/>
        <v>50259.479999999996</v>
      </c>
      <c r="O107" s="7"/>
      <c r="P107" s="7"/>
      <c r="Q107" s="64">
        <f t="shared" si="29"/>
        <v>50259.479999999996</v>
      </c>
      <c r="R107" s="64">
        <f t="shared" si="25"/>
        <v>5025.9480000000003</v>
      </c>
      <c r="S107" s="7"/>
      <c r="T107" s="7"/>
      <c r="U107" s="7"/>
      <c r="V107" s="10"/>
      <c r="W107" s="7"/>
      <c r="X107" s="10"/>
      <c r="Y107" s="10"/>
      <c r="Z107" s="11"/>
      <c r="AA107" s="10"/>
      <c r="AB107" s="10"/>
      <c r="AC107" s="10"/>
      <c r="AD107" s="93"/>
      <c r="AE107" s="67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68">
        <v>0.1</v>
      </c>
      <c r="AW107" s="64">
        <f t="shared" si="30"/>
        <v>5025.9480000000003</v>
      </c>
      <c r="AX107" s="64">
        <f t="shared" si="26"/>
        <v>55285.428</v>
      </c>
      <c r="AY107" s="7"/>
      <c r="AZ107" s="64">
        <f t="shared" si="31"/>
        <v>663425.13599999994</v>
      </c>
      <c r="BA107" s="5"/>
      <c r="BB107" s="5"/>
    </row>
    <row r="108" spans="1:54" ht="15.75" customHeight="1">
      <c r="A108" s="5">
        <v>31</v>
      </c>
      <c r="B108" s="34" t="s">
        <v>171</v>
      </c>
      <c r="C108" s="35" t="s">
        <v>186</v>
      </c>
      <c r="D108" s="40" t="s">
        <v>195</v>
      </c>
      <c r="E108" s="42" t="s">
        <v>277</v>
      </c>
      <c r="F108" s="39" t="s">
        <v>286</v>
      </c>
      <c r="G108" s="72">
        <v>17697</v>
      </c>
      <c r="H108" s="89"/>
      <c r="I108" s="8"/>
      <c r="J108" s="89">
        <v>1</v>
      </c>
      <c r="K108" s="9"/>
      <c r="L108" s="90">
        <v>2.84</v>
      </c>
      <c r="M108" s="9"/>
      <c r="N108" s="64">
        <f t="shared" si="28"/>
        <v>50259.479999999996</v>
      </c>
      <c r="O108" s="7"/>
      <c r="P108" s="7"/>
      <c r="Q108" s="64">
        <f t="shared" si="29"/>
        <v>50259.479999999996</v>
      </c>
      <c r="R108" s="64">
        <f t="shared" si="25"/>
        <v>5025.9480000000003</v>
      </c>
      <c r="S108" s="7"/>
      <c r="T108" s="7"/>
      <c r="U108" s="7"/>
      <c r="V108" s="10"/>
      <c r="W108" s="7"/>
      <c r="X108" s="10"/>
      <c r="Y108" s="10"/>
      <c r="Z108" s="11"/>
      <c r="AA108" s="10"/>
      <c r="AB108" s="10"/>
      <c r="AC108" s="10"/>
      <c r="AD108" s="93"/>
      <c r="AE108" s="67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68">
        <v>0.1</v>
      </c>
      <c r="AW108" s="64">
        <f t="shared" si="30"/>
        <v>5025.9480000000003</v>
      </c>
      <c r="AX108" s="64">
        <f t="shared" si="26"/>
        <v>55285.428</v>
      </c>
      <c r="AY108" s="7"/>
      <c r="AZ108" s="64">
        <f t="shared" si="31"/>
        <v>663425.13599999994</v>
      </c>
      <c r="BA108" s="5"/>
      <c r="BB108" s="5"/>
    </row>
    <row r="109" spans="1:54" ht="15.75" customHeight="1">
      <c r="A109" s="5">
        <v>32</v>
      </c>
      <c r="B109" s="34" t="s">
        <v>172</v>
      </c>
      <c r="C109" s="35" t="s">
        <v>186</v>
      </c>
      <c r="D109" s="40" t="s">
        <v>195</v>
      </c>
      <c r="E109" s="42" t="s">
        <v>278</v>
      </c>
      <c r="F109" s="39" t="s">
        <v>286</v>
      </c>
      <c r="G109" s="72">
        <v>17697</v>
      </c>
      <c r="H109" s="89"/>
      <c r="I109" s="8"/>
      <c r="J109" s="89">
        <v>1</v>
      </c>
      <c r="K109" s="9"/>
      <c r="L109" s="90">
        <v>2.84</v>
      </c>
      <c r="M109" s="9"/>
      <c r="N109" s="64">
        <f t="shared" si="28"/>
        <v>50259.479999999996</v>
      </c>
      <c r="O109" s="7"/>
      <c r="P109" s="7"/>
      <c r="Q109" s="64">
        <f t="shared" si="29"/>
        <v>50259.479999999996</v>
      </c>
      <c r="R109" s="64">
        <f t="shared" si="25"/>
        <v>5025.9480000000003</v>
      </c>
      <c r="S109" s="7"/>
      <c r="T109" s="7"/>
      <c r="U109" s="7"/>
      <c r="V109" s="10"/>
      <c r="W109" s="7"/>
      <c r="X109" s="10"/>
      <c r="Y109" s="10"/>
      <c r="Z109" s="11"/>
      <c r="AA109" s="10"/>
      <c r="AB109" s="10"/>
      <c r="AC109" s="10"/>
      <c r="AD109" s="93"/>
      <c r="AE109" s="67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68">
        <v>0.1</v>
      </c>
      <c r="AW109" s="64">
        <f t="shared" si="30"/>
        <v>5025.9480000000003</v>
      </c>
      <c r="AX109" s="64">
        <f t="shared" si="26"/>
        <v>55285.428</v>
      </c>
      <c r="AY109" s="7"/>
      <c r="AZ109" s="64">
        <f t="shared" si="31"/>
        <v>663425.13599999994</v>
      </c>
      <c r="BA109" s="5"/>
      <c r="BB109" s="5"/>
    </row>
    <row r="110" spans="1:54" ht="15.75" customHeight="1">
      <c r="A110" s="5">
        <v>33</v>
      </c>
      <c r="B110" s="34" t="s">
        <v>173</v>
      </c>
      <c r="C110" s="35" t="s">
        <v>186</v>
      </c>
      <c r="D110" s="40" t="s">
        <v>195</v>
      </c>
      <c r="E110" s="42" t="s">
        <v>278</v>
      </c>
      <c r="F110" s="39" t="s">
        <v>286</v>
      </c>
      <c r="G110" s="72">
        <v>17697</v>
      </c>
      <c r="H110" s="89"/>
      <c r="I110" s="8"/>
      <c r="J110" s="89">
        <v>1</v>
      </c>
      <c r="K110" s="9"/>
      <c r="L110" s="90">
        <v>2.84</v>
      </c>
      <c r="M110" s="9"/>
      <c r="N110" s="64">
        <f t="shared" si="28"/>
        <v>50259.479999999996</v>
      </c>
      <c r="O110" s="7"/>
      <c r="P110" s="7"/>
      <c r="Q110" s="64">
        <f t="shared" si="29"/>
        <v>50259.479999999996</v>
      </c>
      <c r="R110" s="64">
        <f t="shared" si="25"/>
        <v>5025.9480000000003</v>
      </c>
      <c r="S110" s="7"/>
      <c r="T110" s="7"/>
      <c r="U110" s="7"/>
      <c r="V110" s="10"/>
      <c r="W110" s="7"/>
      <c r="X110" s="10"/>
      <c r="Y110" s="10"/>
      <c r="Z110" s="11"/>
      <c r="AA110" s="10"/>
      <c r="AB110" s="10"/>
      <c r="AC110" s="10"/>
      <c r="AD110" s="93"/>
      <c r="AE110" s="67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68">
        <v>0.1</v>
      </c>
      <c r="AW110" s="64">
        <f t="shared" si="30"/>
        <v>5025.9480000000003</v>
      </c>
      <c r="AX110" s="64">
        <f t="shared" si="26"/>
        <v>55285.428</v>
      </c>
      <c r="AY110" s="7"/>
      <c r="AZ110" s="64">
        <f t="shared" si="31"/>
        <v>663425.13599999994</v>
      </c>
      <c r="BA110" s="5"/>
      <c r="BB110" s="5"/>
    </row>
    <row r="111" spans="1:54" ht="15.75" customHeight="1">
      <c r="A111" s="5">
        <v>34</v>
      </c>
      <c r="B111" s="34" t="s">
        <v>174</v>
      </c>
      <c r="C111" s="35" t="s">
        <v>187</v>
      </c>
      <c r="D111" s="40" t="s">
        <v>192</v>
      </c>
      <c r="E111" s="42" t="s">
        <v>219</v>
      </c>
      <c r="F111" s="39" t="s">
        <v>287</v>
      </c>
      <c r="G111" s="72">
        <v>17697</v>
      </c>
      <c r="H111" s="89"/>
      <c r="I111" s="8"/>
      <c r="J111" s="89">
        <v>1</v>
      </c>
      <c r="K111" s="9"/>
      <c r="L111" s="90">
        <v>2.81</v>
      </c>
      <c r="M111" s="9"/>
      <c r="N111" s="64">
        <f t="shared" si="28"/>
        <v>49728.57</v>
      </c>
      <c r="O111" s="7"/>
      <c r="P111" s="7"/>
      <c r="Q111" s="64">
        <f t="shared" si="29"/>
        <v>49728.57</v>
      </c>
      <c r="R111" s="64">
        <f t="shared" si="25"/>
        <v>4972.857</v>
      </c>
      <c r="S111" s="7"/>
      <c r="T111" s="7"/>
      <c r="U111" s="7"/>
      <c r="V111" s="10"/>
      <c r="W111" s="7"/>
      <c r="X111" s="10"/>
      <c r="Y111" s="10"/>
      <c r="Z111" s="11"/>
      <c r="AA111" s="10"/>
      <c r="AB111" s="10"/>
      <c r="AC111" s="10"/>
      <c r="AD111" s="93"/>
      <c r="AE111" s="67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68">
        <v>0.1</v>
      </c>
      <c r="AW111" s="64">
        <f t="shared" si="30"/>
        <v>4972.857</v>
      </c>
      <c r="AX111" s="64">
        <f t="shared" si="26"/>
        <v>54701.426999999996</v>
      </c>
      <c r="AY111" s="7"/>
      <c r="AZ111" s="64">
        <f t="shared" si="31"/>
        <v>656417.12399999995</v>
      </c>
      <c r="BA111" s="5"/>
      <c r="BB111" s="5"/>
    </row>
    <row r="112" spans="1:54" ht="15.75" customHeight="1">
      <c r="A112" s="5">
        <v>35</v>
      </c>
      <c r="B112" s="34" t="s">
        <v>175</v>
      </c>
      <c r="C112" s="35" t="s">
        <v>187</v>
      </c>
      <c r="D112" s="40" t="s">
        <v>195</v>
      </c>
      <c r="E112" s="42" t="s">
        <v>224</v>
      </c>
      <c r="F112" s="39" t="s">
        <v>287</v>
      </c>
      <c r="G112" s="72">
        <v>17697</v>
      </c>
      <c r="H112" s="89"/>
      <c r="I112" s="8"/>
      <c r="J112" s="89">
        <v>1</v>
      </c>
      <c r="K112" s="9"/>
      <c r="L112" s="90">
        <v>2.81</v>
      </c>
      <c r="M112" s="9"/>
      <c r="N112" s="64">
        <f t="shared" si="28"/>
        <v>49728.57</v>
      </c>
      <c r="O112" s="7"/>
      <c r="P112" s="7"/>
      <c r="Q112" s="64">
        <f t="shared" si="29"/>
        <v>49728.57</v>
      </c>
      <c r="R112" s="64">
        <f t="shared" si="25"/>
        <v>4972.857</v>
      </c>
      <c r="S112" s="7"/>
      <c r="T112" s="7"/>
      <c r="U112" s="7"/>
      <c r="V112" s="10"/>
      <c r="W112" s="7"/>
      <c r="X112" s="10"/>
      <c r="Y112" s="10"/>
      <c r="Z112" s="11"/>
      <c r="AA112" s="10"/>
      <c r="AB112" s="10"/>
      <c r="AC112" s="10"/>
      <c r="AD112" s="93"/>
      <c r="AE112" s="67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68">
        <v>0.1</v>
      </c>
      <c r="AW112" s="64">
        <f t="shared" si="30"/>
        <v>4972.857</v>
      </c>
      <c r="AX112" s="64">
        <f t="shared" si="26"/>
        <v>54701.426999999996</v>
      </c>
      <c r="AY112" s="7"/>
      <c r="AZ112" s="64">
        <f t="shared" si="31"/>
        <v>656417.12399999995</v>
      </c>
      <c r="BA112" s="5"/>
      <c r="BB112" s="5"/>
    </row>
    <row r="113" spans="1:54" ht="15.75" customHeight="1">
      <c r="A113" s="5">
        <v>36</v>
      </c>
      <c r="B113" s="34" t="s">
        <v>395</v>
      </c>
      <c r="C113" s="35" t="s">
        <v>187</v>
      </c>
      <c r="D113" s="40" t="s">
        <v>191</v>
      </c>
      <c r="E113" s="42" t="s">
        <v>396</v>
      </c>
      <c r="F113" s="39" t="s">
        <v>287</v>
      </c>
      <c r="G113" s="72">
        <v>17697</v>
      </c>
      <c r="H113" s="89"/>
      <c r="I113" s="8"/>
      <c r="J113" s="89">
        <v>1</v>
      </c>
      <c r="K113" s="9"/>
      <c r="L113" s="90">
        <v>2.81</v>
      </c>
      <c r="M113" s="9"/>
      <c r="N113" s="64">
        <f t="shared" si="28"/>
        <v>49728.57</v>
      </c>
      <c r="O113" s="7"/>
      <c r="P113" s="7"/>
      <c r="Q113" s="64">
        <f t="shared" si="29"/>
        <v>49728.57</v>
      </c>
      <c r="R113" s="64">
        <f t="shared" si="25"/>
        <v>4972.857</v>
      </c>
      <c r="S113" s="7"/>
      <c r="T113" s="7"/>
      <c r="U113" s="7"/>
      <c r="V113" s="10"/>
      <c r="W113" s="7"/>
      <c r="X113" s="10"/>
      <c r="Y113" s="10"/>
      <c r="Z113" s="11"/>
      <c r="AA113" s="10"/>
      <c r="AB113" s="10"/>
      <c r="AC113" s="10"/>
      <c r="AD113" s="94"/>
      <c r="AE113" s="67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68">
        <v>0.1</v>
      </c>
      <c r="AW113" s="64">
        <f t="shared" si="30"/>
        <v>4972.857</v>
      </c>
      <c r="AX113" s="64">
        <f t="shared" si="26"/>
        <v>54701.426999999996</v>
      </c>
      <c r="AY113" s="7"/>
      <c r="AZ113" s="64">
        <f t="shared" si="31"/>
        <v>656417.12399999995</v>
      </c>
      <c r="BA113" s="5"/>
      <c r="BB113" s="5"/>
    </row>
    <row r="114" spans="1:54" ht="15.75" customHeight="1">
      <c r="A114" s="5">
        <v>37</v>
      </c>
      <c r="B114" s="34" t="s">
        <v>79</v>
      </c>
      <c r="C114" s="35" t="s">
        <v>187</v>
      </c>
      <c r="D114" s="40" t="s">
        <v>398</v>
      </c>
      <c r="E114" s="42" t="s">
        <v>211</v>
      </c>
      <c r="F114" s="39" t="s">
        <v>287</v>
      </c>
      <c r="G114" s="72">
        <v>17697</v>
      </c>
      <c r="H114" s="89"/>
      <c r="I114" s="8"/>
      <c r="J114" s="89">
        <v>1</v>
      </c>
      <c r="K114" s="9"/>
      <c r="L114" s="90">
        <v>2.81</v>
      </c>
      <c r="M114" s="9"/>
      <c r="N114" s="64">
        <f t="shared" si="28"/>
        <v>49728.57</v>
      </c>
      <c r="O114" s="7"/>
      <c r="P114" s="7"/>
      <c r="Q114" s="64">
        <f t="shared" si="29"/>
        <v>49728.57</v>
      </c>
      <c r="R114" s="64">
        <f t="shared" si="25"/>
        <v>4972.857</v>
      </c>
      <c r="S114" s="7"/>
      <c r="T114" s="7"/>
      <c r="U114" s="7"/>
      <c r="V114" s="10"/>
      <c r="W114" s="7"/>
      <c r="X114" s="10"/>
      <c r="Y114" s="10"/>
      <c r="Z114" s="11"/>
      <c r="AA114" s="10"/>
      <c r="AB114" s="10"/>
      <c r="AC114" s="10"/>
      <c r="AD114" s="94"/>
      <c r="AE114" s="67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68">
        <v>0.1</v>
      </c>
      <c r="AW114" s="64">
        <f t="shared" si="30"/>
        <v>4972.857</v>
      </c>
      <c r="AX114" s="64">
        <f t="shared" si="26"/>
        <v>54701.426999999996</v>
      </c>
      <c r="AY114" s="7"/>
      <c r="AZ114" s="64">
        <f t="shared" si="31"/>
        <v>656417.12399999995</v>
      </c>
      <c r="BA114" s="5"/>
      <c r="BB114" s="5"/>
    </row>
    <row r="115" spans="1:54" ht="15.75" customHeight="1">
      <c r="A115" s="5">
        <v>38</v>
      </c>
      <c r="B115" s="34" t="s">
        <v>176</v>
      </c>
      <c r="C115" s="35" t="s">
        <v>188</v>
      </c>
      <c r="D115" s="40" t="s">
        <v>195</v>
      </c>
      <c r="E115" s="42" t="s">
        <v>279</v>
      </c>
      <c r="F115" s="39" t="s">
        <v>288</v>
      </c>
      <c r="G115" s="72">
        <v>17697</v>
      </c>
      <c r="H115" s="89"/>
      <c r="I115" s="8"/>
      <c r="J115" s="89">
        <v>1</v>
      </c>
      <c r="K115" s="9"/>
      <c r="L115" s="90">
        <v>2.77</v>
      </c>
      <c r="M115" s="9"/>
      <c r="N115" s="64">
        <f t="shared" si="28"/>
        <v>49020.69</v>
      </c>
      <c r="O115" s="7"/>
      <c r="P115" s="7"/>
      <c r="Q115" s="64">
        <f t="shared" si="29"/>
        <v>49020.69</v>
      </c>
      <c r="R115" s="64">
        <f t="shared" si="25"/>
        <v>4902.0690000000004</v>
      </c>
      <c r="S115" s="7"/>
      <c r="T115" s="7"/>
      <c r="U115" s="7"/>
      <c r="V115" s="10"/>
      <c r="W115" s="7"/>
      <c r="X115" s="10"/>
      <c r="Y115" s="10"/>
      <c r="Z115" s="11"/>
      <c r="AA115" s="10"/>
      <c r="AB115" s="10"/>
      <c r="AC115" s="10"/>
      <c r="AD115" s="94"/>
      <c r="AE115" s="67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68">
        <v>0.1</v>
      </c>
      <c r="AW115" s="64">
        <f t="shared" si="30"/>
        <v>4902.0690000000004</v>
      </c>
      <c r="AX115" s="64">
        <f t="shared" si="26"/>
        <v>53922.759000000005</v>
      </c>
      <c r="AY115" s="7"/>
      <c r="AZ115" s="64">
        <f t="shared" si="31"/>
        <v>647073.10800000001</v>
      </c>
      <c r="BA115" s="5"/>
      <c r="BB115" s="5"/>
    </row>
    <row r="116" spans="1:54" ht="15.75" customHeight="1">
      <c r="A116" s="5">
        <v>39</v>
      </c>
      <c r="B116" s="34" t="s">
        <v>176</v>
      </c>
      <c r="C116" s="35" t="s">
        <v>188</v>
      </c>
      <c r="D116" s="40" t="s">
        <v>195</v>
      </c>
      <c r="E116" s="42" t="s">
        <v>280</v>
      </c>
      <c r="F116" s="39" t="s">
        <v>288</v>
      </c>
      <c r="G116" s="72">
        <v>17697</v>
      </c>
      <c r="H116" s="88"/>
      <c r="I116" s="8"/>
      <c r="J116" s="88">
        <v>1</v>
      </c>
      <c r="K116" s="9"/>
      <c r="L116" s="90">
        <v>2.77</v>
      </c>
      <c r="M116" s="9"/>
      <c r="N116" s="64">
        <f t="shared" si="28"/>
        <v>49020.69</v>
      </c>
      <c r="O116" s="7"/>
      <c r="P116" s="7"/>
      <c r="Q116" s="64">
        <f t="shared" si="29"/>
        <v>49020.69</v>
      </c>
      <c r="R116" s="64">
        <f t="shared" si="25"/>
        <v>4902.0690000000004</v>
      </c>
      <c r="S116" s="7"/>
      <c r="T116" s="7"/>
      <c r="U116" s="7"/>
      <c r="V116" s="10"/>
      <c r="W116" s="7"/>
      <c r="X116" s="10"/>
      <c r="Y116" s="10"/>
      <c r="Z116" s="11"/>
      <c r="AA116" s="10"/>
      <c r="AB116" s="10"/>
      <c r="AC116" s="10"/>
      <c r="AD116" s="93"/>
      <c r="AE116" s="67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68">
        <v>0.1</v>
      </c>
      <c r="AW116" s="64">
        <f t="shared" si="30"/>
        <v>4902.0690000000004</v>
      </c>
      <c r="AX116" s="64">
        <f t="shared" si="26"/>
        <v>53922.759000000005</v>
      </c>
      <c r="AY116" s="7"/>
      <c r="AZ116" s="64">
        <f t="shared" si="31"/>
        <v>647073.10800000001</v>
      </c>
      <c r="BA116" s="5"/>
      <c r="BB116" s="5"/>
    </row>
    <row r="117" spans="1:54" ht="15.75" customHeight="1">
      <c r="A117" s="5">
        <v>40</v>
      </c>
      <c r="B117" s="34" t="s">
        <v>176</v>
      </c>
      <c r="C117" s="35" t="s">
        <v>189</v>
      </c>
      <c r="D117" s="40" t="s">
        <v>195</v>
      </c>
      <c r="E117" s="42" t="s">
        <v>279</v>
      </c>
      <c r="F117" s="39" t="s">
        <v>286</v>
      </c>
      <c r="G117" s="72">
        <v>17697</v>
      </c>
      <c r="H117" s="88"/>
      <c r="I117" s="8"/>
      <c r="J117" s="88">
        <v>1</v>
      </c>
      <c r="K117" s="9"/>
      <c r="L117" s="90">
        <v>2.84</v>
      </c>
      <c r="M117" s="9"/>
      <c r="N117" s="64">
        <f t="shared" si="28"/>
        <v>50259.479999999996</v>
      </c>
      <c r="O117" s="7"/>
      <c r="P117" s="7"/>
      <c r="Q117" s="64">
        <f t="shared" si="29"/>
        <v>50259.479999999996</v>
      </c>
      <c r="R117" s="64">
        <f t="shared" si="25"/>
        <v>18902.004818181817</v>
      </c>
      <c r="S117" s="7"/>
      <c r="T117" s="7"/>
      <c r="U117" s="7"/>
      <c r="V117" s="10"/>
      <c r="W117" s="7"/>
      <c r="X117" s="10"/>
      <c r="Y117" s="10"/>
      <c r="Z117" s="11"/>
      <c r="AA117" s="10"/>
      <c r="AB117" s="10"/>
      <c r="AC117" s="10"/>
      <c r="AD117" s="93">
        <v>0.3</v>
      </c>
      <c r="AE117" s="67">
        <f>G117*AD117</f>
        <v>5309.0999999999995</v>
      </c>
      <c r="AF117" s="93">
        <v>0.5</v>
      </c>
      <c r="AG117" s="67">
        <f>(N117/176)*60*AF117</f>
        <v>8566.9568181818177</v>
      </c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68">
        <v>0.1</v>
      </c>
      <c r="AW117" s="64">
        <f t="shared" si="30"/>
        <v>5025.9480000000003</v>
      </c>
      <c r="AX117" s="64">
        <f t="shared" si="26"/>
        <v>69161.484818181809</v>
      </c>
      <c r="AY117" s="7"/>
      <c r="AZ117" s="64">
        <f t="shared" si="31"/>
        <v>829937.81781818171</v>
      </c>
      <c r="BA117" s="5"/>
      <c r="BB117" s="5"/>
    </row>
    <row r="118" spans="1:54" ht="15.75" customHeight="1">
      <c r="A118" s="5">
        <v>41</v>
      </c>
      <c r="B118" s="34" t="s">
        <v>176</v>
      </c>
      <c r="C118" s="35" t="s">
        <v>189</v>
      </c>
      <c r="D118" s="40" t="s">
        <v>195</v>
      </c>
      <c r="E118" s="42" t="s">
        <v>279</v>
      </c>
      <c r="F118" s="39" t="s">
        <v>286</v>
      </c>
      <c r="G118" s="72">
        <v>17697</v>
      </c>
      <c r="H118" s="88"/>
      <c r="I118" s="8"/>
      <c r="J118" s="88">
        <v>1</v>
      </c>
      <c r="K118" s="9"/>
      <c r="L118" s="90">
        <v>2.84</v>
      </c>
      <c r="M118" s="9"/>
      <c r="N118" s="64">
        <f t="shared" si="28"/>
        <v>50259.479999999996</v>
      </c>
      <c r="O118" s="7"/>
      <c r="P118" s="7"/>
      <c r="Q118" s="64">
        <f t="shared" si="29"/>
        <v>50259.479999999996</v>
      </c>
      <c r="R118" s="64">
        <f t="shared" si="25"/>
        <v>18902.004818181817</v>
      </c>
      <c r="S118" s="7"/>
      <c r="T118" s="7"/>
      <c r="U118" s="7"/>
      <c r="V118" s="10"/>
      <c r="W118" s="7"/>
      <c r="X118" s="10"/>
      <c r="Y118" s="10"/>
      <c r="Z118" s="11"/>
      <c r="AA118" s="10"/>
      <c r="AB118" s="10"/>
      <c r="AC118" s="10"/>
      <c r="AD118" s="93">
        <v>0.3</v>
      </c>
      <c r="AE118" s="67">
        <f t="shared" ref="AE118:AE124" si="34">G118*AD118</f>
        <v>5309.0999999999995</v>
      </c>
      <c r="AF118" s="93">
        <v>0.5</v>
      </c>
      <c r="AG118" s="67">
        <f t="shared" ref="AG118:AG124" si="35">(N118/176)*60*AF118</f>
        <v>8566.9568181818177</v>
      </c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68">
        <v>0.1</v>
      </c>
      <c r="AW118" s="64">
        <f t="shared" si="30"/>
        <v>5025.9480000000003</v>
      </c>
      <c r="AX118" s="64">
        <f t="shared" si="26"/>
        <v>69161.484818181809</v>
      </c>
      <c r="AY118" s="7"/>
      <c r="AZ118" s="64">
        <f t="shared" si="31"/>
        <v>829937.81781818171</v>
      </c>
      <c r="BA118" s="5"/>
      <c r="BB118" s="5"/>
    </row>
    <row r="119" spans="1:54" ht="15.75" customHeight="1">
      <c r="A119" s="5">
        <v>42</v>
      </c>
      <c r="B119" s="34" t="s">
        <v>176</v>
      </c>
      <c r="C119" s="35" t="s">
        <v>189</v>
      </c>
      <c r="D119" s="40" t="s">
        <v>195</v>
      </c>
      <c r="E119" s="42" t="s">
        <v>279</v>
      </c>
      <c r="F119" s="39" t="s">
        <v>286</v>
      </c>
      <c r="G119" s="72">
        <v>17697</v>
      </c>
      <c r="H119" s="88"/>
      <c r="I119" s="8"/>
      <c r="J119" s="88">
        <v>1</v>
      </c>
      <c r="K119" s="9"/>
      <c r="L119" s="90">
        <v>2.84</v>
      </c>
      <c r="M119" s="9"/>
      <c r="N119" s="64">
        <f t="shared" si="28"/>
        <v>50259.479999999996</v>
      </c>
      <c r="O119" s="7"/>
      <c r="P119" s="7"/>
      <c r="Q119" s="64">
        <f t="shared" si="29"/>
        <v>50259.479999999996</v>
      </c>
      <c r="R119" s="64">
        <f t="shared" si="25"/>
        <v>18902.004818181817</v>
      </c>
      <c r="S119" s="7"/>
      <c r="T119" s="7"/>
      <c r="U119" s="7"/>
      <c r="V119" s="10"/>
      <c r="W119" s="7"/>
      <c r="X119" s="10"/>
      <c r="Y119" s="10"/>
      <c r="Z119" s="11"/>
      <c r="AA119" s="10"/>
      <c r="AB119" s="10"/>
      <c r="AC119" s="10"/>
      <c r="AD119" s="93">
        <v>0.3</v>
      </c>
      <c r="AE119" s="67">
        <f t="shared" si="34"/>
        <v>5309.0999999999995</v>
      </c>
      <c r="AF119" s="93">
        <v>0.5</v>
      </c>
      <c r="AG119" s="67">
        <f t="shared" si="35"/>
        <v>8566.9568181818177</v>
      </c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68">
        <v>0.1</v>
      </c>
      <c r="AW119" s="64">
        <f t="shared" si="30"/>
        <v>5025.9480000000003</v>
      </c>
      <c r="AX119" s="64">
        <f t="shared" si="26"/>
        <v>69161.484818181809</v>
      </c>
      <c r="AY119" s="7"/>
      <c r="AZ119" s="64">
        <f t="shared" si="31"/>
        <v>829937.81781818171</v>
      </c>
      <c r="BA119" s="5"/>
      <c r="BB119" s="5"/>
    </row>
    <row r="120" spans="1:54" ht="15.75" customHeight="1">
      <c r="A120" s="5">
        <v>43</v>
      </c>
      <c r="B120" s="34" t="s">
        <v>176</v>
      </c>
      <c r="C120" s="35" t="s">
        <v>189</v>
      </c>
      <c r="D120" s="40" t="s">
        <v>195</v>
      </c>
      <c r="E120" s="42" t="s">
        <v>205</v>
      </c>
      <c r="F120" s="39" t="s">
        <v>286</v>
      </c>
      <c r="G120" s="72">
        <v>17697</v>
      </c>
      <c r="H120" s="88"/>
      <c r="I120" s="8"/>
      <c r="J120" s="88">
        <v>1</v>
      </c>
      <c r="K120" s="9"/>
      <c r="L120" s="90">
        <v>2.84</v>
      </c>
      <c r="M120" s="9"/>
      <c r="N120" s="64">
        <f t="shared" si="28"/>
        <v>50259.479999999996</v>
      </c>
      <c r="O120" s="7"/>
      <c r="P120" s="7"/>
      <c r="Q120" s="64">
        <f t="shared" si="29"/>
        <v>50259.479999999996</v>
      </c>
      <c r="R120" s="64">
        <f t="shared" si="25"/>
        <v>18902.004818181817</v>
      </c>
      <c r="S120" s="7"/>
      <c r="T120" s="7"/>
      <c r="U120" s="7"/>
      <c r="V120" s="10"/>
      <c r="W120" s="7"/>
      <c r="X120" s="10"/>
      <c r="Y120" s="10"/>
      <c r="Z120" s="11"/>
      <c r="AA120" s="10"/>
      <c r="AB120" s="10"/>
      <c r="AC120" s="10"/>
      <c r="AD120" s="93">
        <v>0.3</v>
      </c>
      <c r="AE120" s="67">
        <f t="shared" si="34"/>
        <v>5309.0999999999995</v>
      </c>
      <c r="AF120" s="93">
        <v>0.5</v>
      </c>
      <c r="AG120" s="67">
        <f t="shared" si="35"/>
        <v>8566.9568181818177</v>
      </c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68">
        <v>0.1</v>
      </c>
      <c r="AW120" s="64">
        <f t="shared" si="30"/>
        <v>5025.9480000000003</v>
      </c>
      <c r="AX120" s="64">
        <f t="shared" si="26"/>
        <v>69161.484818181809</v>
      </c>
      <c r="AY120" s="7"/>
      <c r="AZ120" s="64">
        <f t="shared" si="31"/>
        <v>829937.81781818171</v>
      </c>
      <c r="BA120" s="5"/>
      <c r="BB120" s="5"/>
    </row>
    <row r="121" spans="1:54" ht="15.75" customHeight="1">
      <c r="A121" s="5">
        <v>44</v>
      </c>
      <c r="B121" s="34" t="s">
        <v>176</v>
      </c>
      <c r="C121" s="35" t="s">
        <v>189</v>
      </c>
      <c r="D121" s="40" t="s">
        <v>195</v>
      </c>
      <c r="E121" s="42" t="s">
        <v>279</v>
      </c>
      <c r="F121" s="39" t="s">
        <v>286</v>
      </c>
      <c r="G121" s="72">
        <v>17697</v>
      </c>
      <c r="H121" s="88"/>
      <c r="I121" s="8"/>
      <c r="J121" s="88">
        <v>1</v>
      </c>
      <c r="K121" s="9"/>
      <c r="L121" s="90">
        <v>2.84</v>
      </c>
      <c r="M121" s="9"/>
      <c r="N121" s="64">
        <f t="shared" si="28"/>
        <v>50259.479999999996</v>
      </c>
      <c r="O121" s="7"/>
      <c r="P121" s="7"/>
      <c r="Q121" s="64">
        <f t="shared" si="29"/>
        <v>50259.479999999996</v>
      </c>
      <c r="R121" s="64">
        <f t="shared" si="25"/>
        <v>18902.004818181817</v>
      </c>
      <c r="S121" s="7"/>
      <c r="T121" s="7"/>
      <c r="U121" s="7"/>
      <c r="V121" s="10"/>
      <c r="W121" s="7"/>
      <c r="X121" s="10"/>
      <c r="Y121" s="10"/>
      <c r="Z121" s="11"/>
      <c r="AA121" s="10"/>
      <c r="AB121" s="10"/>
      <c r="AC121" s="10"/>
      <c r="AD121" s="93">
        <v>0.3</v>
      </c>
      <c r="AE121" s="67">
        <f t="shared" si="34"/>
        <v>5309.0999999999995</v>
      </c>
      <c r="AF121" s="93">
        <v>0.5</v>
      </c>
      <c r="AG121" s="67">
        <f t="shared" si="35"/>
        <v>8566.9568181818177</v>
      </c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68">
        <v>0.1</v>
      </c>
      <c r="AW121" s="64">
        <f t="shared" si="30"/>
        <v>5025.9480000000003</v>
      </c>
      <c r="AX121" s="64">
        <f t="shared" si="26"/>
        <v>69161.484818181809</v>
      </c>
      <c r="AY121" s="7"/>
      <c r="AZ121" s="64">
        <f t="shared" si="31"/>
        <v>829937.81781818171</v>
      </c>
      <c r="BA121" s="5"/>
      <c r="BB121" s="5"/>
    </row>
    <row r="122" spans="1:54" ht="15.75" customHeight="1">
      <c r="A122" s="5">
        <v>45</v>
      </c>
      <c r="B122" s="34" t="s">
        <v>176</v>
      </c>
      <c r="C122" s="35" t="s">
        <v>189</v>
      </c>
      <c r="D122" s="40" t="s">
        <v>195</v>
      </c>
      <c r="E122" s="42" t="s">
        <v>281</v>
      </c>
      <c r="F122" s="39" t="s">
        <v>286</v>
      </c>
      <c r="G122" s="72">
        <v>17697</v>
      </c>
      <c r="H122" s="88"/>
      <c r="I122" s="8"/>
      <c r="J122" s="88">
        <v>1</v>
      </c>
      <c r="K122" s="9"/>
      <c r="L122" s="90">
        <v>2.84</v>
      </c>
      <c r="M122" s="9"/>
      <c r="N122" s="64">
        <f t="shared" si="28"/>
        <v>50259.479999999996</v>
      </c>
      <c r="O122" s="7"/>
      <c r="P122" s="7"/>
      <c r="Q122" s="64">
        <f t="shared" si="29"/>
        <v>50259.479999999996</v>
      </c>
      <c r="R122" s="64">
        <f t="shared" si="25"/>
        <v>18902.004818181817</v>
      </c>
      <c r="S122" s="7"/>
      <c r="T122" s="7"/>
      <c r="U122" s="7"/>
      <c r="V122" s="10"/>
      <c r="W122" s="7"/>
      <c r="X122" s="10"/>
      <c r="Y122" s="10"/>
      <c r="Z122" s="11"/>
      <c r="AA122" s="10"/>
      <c r="AB122" s="10"/>
      <c r="AC122" s="10"/>
      <c r="AD122" s="93">
        <v>0.3</v>
      </c>
      <c r="AE122" s="67">
        <f t="shared" si="34"/>
        <v>5309.0999999999995</v>
      </c>
      <c r="AF122" s="93">
        <v>0.5</v>
      </c>
      <c r="AG122" s="67">
        <f t="shared" si="35"/>
        <v>8566.9568181818177</v>
      </c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68">
        <v>0.1</v>
      </c>
      <c r="AW122" s="64">
        <f t="shared" si="30"/>
        <v>5025.9480000000003</v>
      </c>
      <c r="AX122" s="64">
        <f t="shared" si="26"/>
        <v>69161.484818181809</v>
      </c>
      <c r="AY122" s="7"/>
      <c r="AZ122" s="64">
        <f t="shared" si="31"/>
        <v>829937.81781818171</v>
      </c>
      <c r="BA122" s="5"/>
      <c r="BB122" s="5"/>
    </row>
    <row r="123" spans="1:54" ht="15.75" customHeight="1">
      <c r="A123" s="5">
        <v>46</v>
      </c>
      <c r="B123" s="34" t="s">
        <v>176</v>
      </c>
      <c r="C123" s="35" t="s">
        <v>189</v>
      </c>
      <c r="D123" s="40" t="s">
        <v>195</v>
      </c>
      <c r="E123" s="42" t="s">
        <v>282</v>
      </c>
      <c r="F123" s="39" t="s">
        <v>286</v>
      </c>
      <c r="G123" s="64">
        <v>17697</v>
      </c>
      <c r="H123" s="88"/>
      <c r="I123" s="8"/>
      <c r="J123" s="88">
        <v>1</v>
      </c>
      <c r="K123" s="9"/>
      <c r="L123" s="90">
        <v>2.84</v>
      </c>
      <c r="M123" s="9"/>
      <c r="N123" s="64">
        <f t="shared" si="28"/>
        <v>50259.479999999996</v>
      </c>
      <c r="O123" s="7"/>
      <c r="P123" s="7"/>
      <c r="Q123" s="64">
        <f t="shared" si="29"/>
        <v>50259.479999999996</v>
      </c>
      <c r="R123" s="64">
        <f t="shared" si="25"/>
        <v>18902.004818181817</v>
      </c>
      <c r="S123" s="7"/>
      <c r="T123" s="7"/>
      <c r="U123" s="7"/>
      <c r="V123" s="10"/>
      <c r="W123" s="7"/>
      <c r="X123" s="10"/>
      <c r="Y123" s="10"/>
      <c r="Z123" s="11"/>
      <c r="AA123" s="10"/>
      <c r="AB123" s="10"/>
      <c r="AC123" s="10"/>
      <c r="AD123" s="93">
        <v>0.3</v>
      </c>
      <c r="AE123" s="67">
        <f t="shared" si="34"/>
        <v>5309.0999999999995</v>
      </c>
      <c r="AF123" s="93">
        <v>0.5</v>
      </c>
      <c r="AG123" s="67">
        <f t="shared" si="35"/>
        <v>8566.9568181818177</v>
      </c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68">
        <v>0.1</v>
      </c>
      <c r="AW123" s="64">
        <f t="shared" si="30"/>
        <v>5025.9480000000003</v>
      </c>
      <c r="AX123" s="64">
        <f t="shared" si="26"/>
        <v>69161.484818181809</v>
      </c>
      <c r="AY123" s="7"/>
      <c r="AZ123" s="64">
        <f t="shared" si="31"/>
        <v>829937.81781818171</v>
      </c>
      <c r="BA123" s="5"/>
      <c r="BB123" s="5"/>
    </row>
    <row r="124" spans="1:54" ht="16.5" customHeight="1">
      <c r="A124" s="5">
        <v>47</v>
      </c>
      <c r="B124" s="34" t="s">
        <v>176</v>
      </c>
      <c r="C124" s="35" t="s">
        <v>189</v>
      </c>
      <c r="D124" s="40" t="s">
        <v>195</v>
      </c>
      <c r="E124" s="42" t="s">
        <v>282</v>
      </c>
      <c r="F124" s="39" t="s">
        <v>286</v>
      </c>
      <c r="G124" s="64">
        <v>17697</v>
      </c>
      <c r="H124" s="88"/>
      <c r="I124" s="12"/>
      <c r="J124" s="88">
        <v>1</v>
      </c>
      <c r="K124" s="12"/>
      <c r="L124" s="90">
        <v>2.84</v>
      </c>
      <c r="M124" s="12"/>
      <c r="N124" s="64">
        <f t="shared" si="28"/>
        <v>50259.479999999996</v>
      </c>
      <c r="O124" s="7"/>
      <c r="P124" s="7"/>
      <c r="Q124" s="64">
        <f t="shared" si="29"/>
        <v>50259.479999999996</v>
      </c>
      <c r="R124" s="64">
        <f t="shared" si="25"/>
        <v>18902.004818181817</v>
      </c>
      <c r="S124" s="7"/>
      <c r="T124" s="7"/>
      <c r="U124" s="7"/>
      <c r="V124" s="10"/>
      <c r="W124" s="7"/>
      <c r="X124" s="10"/>
      <c r="Y124" s="10"/>
      <c r="Z124" s="11"/>
      <c r="AA124" s="10"/>
      <c r="AB124" s="10"/>
      <c r="AC124" s="10"/>
      <c r="AD124" s="93">
        <v>0.3</v>
      </c>
      <c r="AE124" s="67">
        <f t="shared" si="34"/>
        <v>5309.0999999999995</v>
      </c>
      <c r="AF124" s="93">
        <v>0.5</v>
      </c>
      <c r="AG124" s="67">
        <f t="shared" si="35"/>
        <v>8566.9568181818177</v>
      </c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68">
        <v>0.1</v>
      </c>
      <c r="AW124" s="64">
        <f t="shared" si="30"/>
        <v>5025.9480000000003</v>
      </c>
      <c r="AX124" s="64">
        <f t="shared" si="26"/>
        <v>69161.484818181809</v>
      </c>
      <c r="AY124" s="7"/>
      <c r="AZ124" s="64">
        <f t="shared" si="31"/>
        <v>829937.81781818171</v>
      </c>
      <c r="BA124" s="5"/>
      <c r="BB124" s="5"/>
    </row>
    <row r="125" spans="1:54" ht="16.5" customHeight="1">
      <c r="A125" s="128">
        <v>47</v>
      </c>
      <c r="B125" s="315" t="s">
        <v>402</v>
      </c>
      <c r="C125" s="316"/>
      <c r="D125" s="95"/>
      <c r="E125" s="96"/>
      <c r="F125" s="97"/>
      <c r="G125" s="98"/>
      <c r="H125" s="258">
        <v>0</v>
      </c>
      <c r="I125" s="100"/>
      <c r="J125" s="242">
        <f>SUM(J78:J124)</f>
        <v>46.5</v>
      </c>
      <c r="K125" s="243"/>
      <c r="L125" s="244"/>
      <c r="M125" s="245">
        <v>0</v>
      </c>
      <c r="N125" s="246">
        <f>SUM(N78:N124)</f>
        <v>2452273.2900000005</v>
      </c>
      <c r="O125" s="246">
        <v>0</v>
      </c>
      <c r="P125" s="246">
        <v>0</v>
      </c>
      <c r="Q125" s="246">
        <f>SUM(Q78:Q124)</f>
        <v>2452273.2900000005</v>
      </c>
      <c r="R125" s="246">
        <f>SUM(R78:R124)</f>
        <v>481562.71990909078</v>
      </c>
      <c r="S125" s="246">
        <v>0</v>
      </c>
      <c r="T125" s="246">
        <v>0</v>
      </c>
      <c r="U125" s="246" t="s">
        <v>43</v>
      </c>
      <c r="V125" s="246" t="s">
        <v>43</v>
      </c>
      <c r="W125" s="246">
        <v>0</v>
      </c>
      <c r="X125" s="247"/>
      <c r="Y125" s="248">
        <v>0</v>
      </c>
      <c r="Z125" s="249"/>
      <c r="AA125" s="248">
        <v>0</v>
      </c>
      <c r="AB125" s="247"/>
      <c r="AC125" s="248">
        <v>0</v>
      </c>
      <c r="AD125" s="250"/>
      <c r="AE125" s="251">
        <f>SUM(AE78:AE124)</f>
        <v>99988.050000000047</v>
      </c>
      <c r="AF125" s="250"/>
      <c r="AG125" s="251">
        <f>SUM(AG78:AG124)</f>
        <v>136347.34090909088</v>
      </c>
      <c r="AH125" s="247"/>
      <c r="AI125" s="248">
        <v>0</v>
      </c>
      <c r="AJ125" s="247"/>
      <c r="AK125" s="246">
        <v>0</v>
      </c>
      <c r="AL125" s="247"/>
      <c r="AM125" s="246">
        <v>0</v>
      </c>
      <c r="AN125" s="247"/>
      <c r="AO125" s="248">
        <v>0</v>
      </c>
      <c r="AP125" s="247"/>
      <c r="AQ125" s="247"/>
      <c r="AR125" s="247"/>
      <c r="AS125" s="247"/>
      <c r="AT125" s="248">
        <v>0</v>
      </c>
      <c r="AU125" s="248">
        <v>0</v>
      </c>
      <c r="AV125" s="252" t="s">
        <v>43</v>
      </c>
      <c r="AW125" s="246">
        <f>SUM(AW78:AW124)</f>
        <v>245227.329</v>
      </c>
      <c r="AX125" s="246">
        <f>SUM(AX78:AX124)</f>
        <v>2933836.0099090929</v>
      </c>
      <c r="AY125" s="253">
        <f>SUM(AY78:AY124)</f>
        <v>657089.61</v>
      </c>
      <c r="AZ125" s="246">
        <f t="shared" si="31"/>
        <v>35206032.118909113</v>
      </c>
      <c r="BA125" s="254"/>
      <c r="BB125" s="254"/>
    </row>
    <row r="126" spans="1:54" ht="14.25" customHeight="1">
      <c r="A126" s="254">
        <v>117</v>
      </c>
      <c r="B126" s="255" t="s">
        <v>42</v>
      </c>
      <c r="C126" s="255"/>
      <c r="D126" s="255"/>
      <c r="E126" s="255"/>
      <c r="F126" s="255"/>
      <c r="G126" s="238" t="s">
        <v>43</v>
      </c>
      <c r="H126" s="156">
        <f>H77+H125</f>
        <v>964</v>
      </c>
      <c r="I126" s="156"/>
      <c r="J126" s="257">
        <f>J77+J125</f>
        <v>66</v>
      </c>
      <c r="K126" s="157"/>
      <c r="L126" s="157"/>
      <c r="M126" s="159">
        <f t="shared" ref="M126:T126" si="36">M77+M125</f>
        <v>4649508.2308333321</v>
      </c>
      <c r="N126" s="159">
        <f t="shared" si="36"/>
        <v>4036914.2862500004</v>
      </c>
      <c r="O126" s="159">
        <f t="shared" si="36"/>
        <v>7649849.6226041643</v>
      </c>
      <c r="P126" s="159">
        <f t="shared" si="36"/>
        <v>1912462.4056510411</v>
      </c>
      <c r="Q126" s="159">
        <f t="shared" si="36"/>
        <v>12014585.318255214</v>
      </c>
      <c r="R126" s="159">
        <f t="shared" si="36"/>
        <v>4297634.1573124211</v>
      </c>
      <c r="S126" s="159">
        <f t="shared" si="36"/>
        <v>28</v>
      </c>
      <c r="T126" s="159">
        <f t="shared" si="36"/>
        <v>11011.466666666665</v>
      </c>
      <c r="U126" s="156" t="s">
        <v>43</v>
      </c>
      <c r="V126" s="156" t="s">
        <v>43</v>
      </c>
      <c r="W126" s="159">
        <f>W77+W125</f>
        <v>253067.1</v>
      </c>
      <c r="X126" s="156" t="s">
        <v>43</v>
      </c>
      <c r="Y126" s="159">
        <f>Y77+Y125</f>
        <v>70788</v>
      </c>
      <c r="Z126" s="156" t="s">
        <v>43</v>
      </c>
      <c r="AA126" s="159">
        <f>AA77+AA125</f>
        <v>70788.000000000015</v>
      </c>
      <c r="AB126" s="156" t="s">
        <v>43</v>
      </c>
      <c r="AC126" s="159">
        <f>AC77+AC125</f>
        <v>194027.94166666668</v>
      </c>
      <c r="AD126" s="156" t="s">
        <v>43</v>
      </c>
      <c r="AE126" s="159">
        <f>AE77+AE125</f>
        <v>105297.15000000005</v>
      </c>
      <c r="AF126" s="156"/>
      <c r="AG126" s="159">
        <f>AG77+AG125</f>
        <v>136347.34090909088</v>
      </c>
      <c r="AH126" s="156" t="s">
        <v>43</v>
      </c>
      <c r="AI126" s="159">
        <f>AI77+AI125</f>
        <v>27780</v>
      </c>
      <c r="AJ126" s="156"/>
      <c r="AK126" s="159">
        <f>AK77+AK125</f>
        <v>138</v>
      </c>
      <c r="AL126" s="156"/>
      <c r="AM126" s="159">
        <f>AM77+AM125</f>
        <v>2899.5273382257392</v>
      </c>
      <c r="AN126" s="156"/>
      <c r="AO126" s="159">
        <f>AO77+AO125</f>
        <v>34243.695</v>
      </c>
      <c r="AP126" s="156"/>
      <c r="AQ126" s="156"/>
      <c r="AR126" s="156"/>
      <c r="AS126" s="156" t="s">
        <v>43</v>
      </c>
      <c r="AT126" s="159">
        <f>AT77+AT125</f>
        <v>964</v>
      </c>
      <c r="AU126" s="159">
        <f>AU77+AU125</f>
        <v>2189925.4039062504</v>
      </c>
      <c r="AV126" s="156" t="s">
        <v>43</v>
      </c>
      <c r="AW126" s="159">
        <f>AW77+AW125</f>
        <v>1201458.5318255206</v>
      </c>
      <c r="AX126" s="161">
        <f>AX77+AX125</f>
        <v>16312219.475567633</v>
      </c>
      <c r="AY126" s="160">
        <f>AY77+AY125</f>
        <v>10219401.638255212</v>
      </c>
      <c r="AZ126" s="161">
        <f>AZ77+AZ125</f>
        <v>195746633.70681158</v>
      </c>
      <c r="BA126" s="259">
        <v>10570318</v>
      </c>
      <c r="BB126" s="259">
        <v>6166019</v>
      </c>
    </row>
    <row r="127" spans="1:54">
      <c r="B127" s="2"/>
      <c r="C127" s="2"/>
      <c r="D127" s="2"/>
      <c r="E127" s="2"/>
      <c r="F127" s="2"/>
      <c r="G127" s="2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AZ127" s="14"/>
    </row>
    <row r="128" spans="1:54" ht="15.75">
      <c r="B128" s="2"/>
      <c r="C128" s="2"/>
      <c r="D128" s="2"/>
      <c r="E128" s="2"/>
      <c r="F128" s="2"/>
      <c r="G128" s="2"/>
      <c r="H128" s="13"/>
      <c r="I128" s="13"/>
      <c r="J128" s="13"/>
      <c r="K128" s="13"/>
      <c r="L128" s="13"/>
      <c r="M128" s="13"/>
      <c r="N128" s="13"/>
      <c r="O128" s="13"/>
      <c r="P128" s="311"/>
      <c r="Q128" s="311"/>
      <c r="R128" s="311"/>
      <c r="S128" s="311"/>
      <c r="T128" s="311"/>
      <c r="U128" s="311"/>
      <c r="V128" s="311"/>
      <c r="W128" s="311"/>
      <c r="X128" s="311"/>
      <c r="AK128" s="235" t="s">
        <v>403</v>
      </c>
      <c r="AL128" s="235"/>
      <c r="AM128" s="235"/>
      <c r="AN128" s="235"/>
      <c r="AO128" s="235"/>
      <c r="AP128" s="235"/>
      <c r="AQ128" s="235"/>
      <c r="AR128" s="235"/>
      <c r="AS128" s="235"/>
      <c r="AT128" s="235"/>
      <c r="AY128" s="15"/>
      <c r="AZ128" s="14"/>
    </row>
    <row r="129" spans="2:53">
      <c r="B129" s="2"/>
      <c r="C129" s="2"/>
      <c r="D129" s="2"/>
      <c r="E129" s="2"/>
      <c r="F129" s="2"/>
      <c r="G129" s="2"/>
      <c r="AY129" s="14"/>
      <c r="AZ129" s="14"/>
      <c r="BA129" s="14"/>
    </row>
    <row r="130" spans="2:53" ht="15.75">
      <c r="B130" s="2"/>
      <c r="C130" s="2"/>
      <c r="D130" s="2"/>
      <c r="E130" s="2"/>
      <c r="F130" s="2"/>
      <c r="G130" s="16"/>
      <c r="P130" s="310"/>
      <c r="Q130" s="310"/>
      <c r="R130" s="310"/>
      <c r="S130" s="310"/>
      <c r="T130" s="310"/>
      <c r="U130" s="310"/>
      <c r="V130" s="310"/>
      <c r="W130" s="310"/>
      <c r="X130" s="310"/>
      <c r="AK130" s="307" t="s">
        <v>404</v>
      </c>
      <c r="AL130" s="307"/>
      <c r="AM130" s="307"/>
      <c r="AN130" s="307"/>
      <c r="AO130" s="307"/>
      <c r="AP130" s="307"/>
      <c r="AQ130" s="307"/>
      <c r="AR130" s="307"/>
      <c r="AS130" s="307"/>
      <c r="BA130" s="14"/>
    </row>
    <row r="131" spans="2:53">
      <c r="BA131" s="14"/>
    </row>
    <row r="133" spans="2:53">
      <c r="AZ133" s="14"/>
    </row>
    <row r="134" spans="2:53" ht="15.75">
      <c r="P134" s="310"/>
      <c r="Q134" s="310"/>
      <c r="R134" s="310"/>
      <c r="S134" s="310"/>
      <c r="T134" s="310"/>
      <c r="U134" s="310"/>
      <c r="V134" s="310"/>
      <c r="W134" s="310"/>
      <c r="X134" s="310"/>
      <c r="Y134" s="310"/>
      <c r="AK134" s="234" t="s">
        <v>358</v>
      </c>
      <c r="AL134" s="234"/>
      <c r="AM134" s="234"/>
      <c r="AN134" s="234"/>
      <c r="AO134" s="234"/>
      <c r="AP134" s="234"/>
      <c r="AQ134" s="234"/>
      <c r="AR134" s="234"/>
      <c r="AS134" s="16"/>
      <c r="AT134" s="16"/>
      <c r="AU134" s="16"/>
    </row>
    <row r="135" spans="2:53" ht="15.75">
      <c r="R135" s="17"/>
      <c r="AK135" s="212" t="s">
        <v>405</v>
      </c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4"/>
      <c r="AX135" s="214"/>
    </row>
    <row r="137" spans="2:53" ht="15.75">
      <c r="AK137" s="212" t="s">
        <v>363</v>
      </c>
      <c r="AL137" s="212"/>
      <c r="AM137" s="212"/>
      <c r="AN137" s="212"/>
      <c r="AO137" s="212"/>
      <c r="AP137" s="212"/>
      <c r="AQ137" s="212"/>
      <c r="AR137" s="209"/>
      <c r="AS137" s="209"/>
    </row>
    <row r="138" spans="2:53" ht="15.75">
      <c r="AK138" s="136"/>
      <c r="AL138" s="136"/>
      <c r="AM138" s="136"/>
      <c r="AN138" s="136"/>
      <c r="AO138" s="136"/>
      <c r="AP138" s="136"/>
      <c r="AQ138" s="107"/>
      <c r="AR138" s="107"/>
      <c r="AS138" s="107"/>
    </row>
    <row r="139" spans="2:53" ht="15.75">
      <c r="AK139" s="234" t="s">
        <v>365</v>
      </c>
      <c r="AL139" s="234"/>
      <c r="AM139" s="234"/>
      <c r="AN139" s="234"/>
      <c r="AO139" s="234"/>
      <c r="AP139" s="234"/>
      <c r="AQ139" s="234"/>
      <c r="AR139" s="234"/>
      <c r="AS139" s="107"/>
    </row>
    <row r="140" spans="2:53" ht="15.75">
      <c r="AK140" s="178"/>
      <c r="AL140" s="177"/>
      <c r="AM140" s="135"/>
      <c r="AN140" s="178"/>
      <c r="AO140" s="178"/>
      <c r="AP140" s="177"/>
      <c r="AQ140" s="107"/>
      <c r="AR140" s="107"/>
      <c r="AS140" s="107"/>
    </row>
    <row r="141" spans="2:53" ht="15.75">
      <c r="AK141" s="260" t="s">
        <v>366</v>
      </c>
      <c r="AL141" s="260"/>
      <c r="AM141" s="260"/>
      <c r="AN141" s="260"/>
      <c r="AO141" s="260"/>
      <c r="AP141" s="260"/>
      <c r="AQ141" s="260"/>
      <c r="AR141" s="260"/>
      <c r="AS141" s="260"/>
    </row>
    <row r="142" spans="2:53" ht="15.75">
      <c r="AK142" s="178"/>
      <c r="AL142" s="178"/>
      <c r="AM142" s="136"/>
      <c r="AN142" s="107"/>
      <c r="AO142" s="107"/>
      <c r="AP142" s="177"/>
      <c r="AQ142" s="107"/>
      <c r="AR142" s="136"/>
      <c r="AS142" s="107"/>
    </row>
    <row r="143" spans="2:53" ht="15.75">
      <c r="AK143" s="212" t="s">
        <v>367</v>
      </c>
      <c r="AL143" s="212"/>
      <c r="AM143" s="212"/>
      <c r="AN143" s="212"/>
      <c r="AO143" s="212"/>
      <c r="AP143" s="212"/>
      <c r="AQ143" s="212"/>
      <c r="AR143" s="107"/>
      <c r="AS143" s="107"/>
    </row>
    <row r="144" spans="2:53" ht="15.75">
      <c r="AK144" s="107"/>
      <c r="AL144" s="178"/>
      <c r="AM144" s="136"/>
      <c r="AN144" s="104"/>
      <c r="AO144" s="181"/>
      <c r="AP144" s="211"/>
      <c r="AQ144" s="181"/>
      <c r="AR144" s="136"/>
      <c r="AS144" s="181"/>
    </row>
    <row r="145" spans="37:45" ht="15.75">
      <c r="AK145" s="212" t="s">
        <v>368</v>
      </c>
      <c r="AL145" s="212"/>
      <c r="AM145" s="212"/>
      <c r="AN145" s="212"/>
      <c r="AO145" s="212"/>
      <c r="AP145" s="212"/>
      <c r="AQ145" s="212"/>
      <c r="AR145" s="136"/>
      <c r="AS145" s="152"/>
    </row>
  </sheetData>
  <mergeCells count="41">
    <mergeCell ref="B125:C125"/>
    <mergeCell ref="AK130:AS130"/>
    <mergeCell ref="K4:K5"/>
    <mergeCell ref="F4:F5"/>
    <mergeCell ref="G4:G5"/>
    <mergeCell ref="H4:H5"/>
    <mergeCell ref="I4:I5"/>
    <mergeCell ref="J4:J5"/>
    <mergeCell ref="L4:L5"/>
    <mergeCell ref="O4:O5"/>
    <mergeCell ref="P4:P5"/>
    <mergeCell ref="Q4:Q5"/>
    <mergeCell ref="R4:R5"/>
    <mergeCell ref="A4:A5"/>
    <mergeCell ref="B4:B5"/>
    <mergeCell ref="C4:C5"/>
    <mergeCell ref="D4:D5"/>
    <mergeCell ref="E4:E5"/>
    <mergeCell ref="BB4:BB5"/>
    <mergeCell ref="AF4:AG4"/>
    <mergeCell ref="AH4:AI4"/>
    <mergeCell ref="AJ4:AM4"/>
    <mergeCell ref="AN4:AP4"/>
    <mergeCell ref="AQ4:AR4"/>
    <mergeCell ref="AS4:AU4"/>
    <mergeCell ref="AV4:AW4"/>
    <mergeCell ref="AX4:AX5"/>
    <mergeCell ref="AY4:AY5"/>
    <mergeCell ref="AZ4:AZ5"/>
    <mergeCell ref="BA4:BA5"/>
    <mergeCell ref="P134:Y134"/>
    <mergeCell ref="AD4:AE4"/>
    <mergeCell ref="M4:M5"/>
    <mergeCell ref="N4:N5"/>
    <mergeCell ref="P128:X128"/>
    <mergeCell ref="P130:X130"/>
    <mergeCell ref="V4:W4"/>
    <mergeCell ref="X4:Y4"/>
    <mergeCell ref="Z4:AA4"/>
    <mergeCell ref="AB4:AC4"/>
    <mergeCell ref="S4:U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35"/>
  <sheetViews>
    <sheetView workbookViewId="0">
      <selection activeCell="K3" sqref="K3"/>
    </sheetView>
  </sheetViews>
  <sheetFormatPr defaultRowHeight="15"/>
  <cols>
    <col min="1" max="1" width="2.7109375" customWidth="1"/>
    <col min="2" max="2" width="14.28515625" customWidth="1"/>
  </cols>
  <sheetData>
    <row r="1" spans="1:30" ht="15.75">
      <c r="A1" s="182"/>
      <c r="B1" s="291" t="s">
        <v>291</v>
      </c>
      <c r="C1" s="291"/>
      <c r="D1" s="104"/>
      <c r="E1" s="104"/>
      <c r="F1" s="261"/>
      <c r="G1" s="104"/>
      <c r="H1" s="168"/>
      <c r="I1" s="104"/>
      <c r="J1" s="104"/>
      <c r="K1" s="10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</row>
    <row r="2" spans="1:30" ht="15.75">
      <c r="A2" s="182"/>
      <c r="B2" s="208" t="s">
        <v>413</v>
      </c>
      <c r="C2" s="208"/>
      <c r="D2" s="208"/>
      <c r="E2" s="208"/>
      <c r="F2" s="263"/>
      <c r="G2" s="263"/>
      <c r="H2" s="263"/>
      <c r="I2" s="263"/>
      <c r="J2" s="263"/>
      <c r="K2" s="26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"/>
      <c r="Y2" s="2"/>
      <c r="Z2" s="2"/>
      <c r="AA2" s="2"/>
      <c r="AB2" s="2"/>
      <c r="AC2" s="2"/>
    </row>
    <row r="3" spans="1:30" ht="15.75">
      <c r="A3" s="182"/>
      <c r="B3" s="291" t="s">
        <v>293</v>
      </c>
      <c r="C3" s="291"/>
      <c r="D3" s="291"/>
      <c r="E3" s="262"/>
      <c r="F3" s="260"/>
      <c r="G3" s="260"/>
      <c r="H3" s="260" t="s">
        <v>407</v>
      </c>
      <c r="I3" s="260"/>
      <c r="J3" s="260"/>
      <c r="K3" s="26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</row>
    <row r="4" spans="1:30" ht="30" customHeight="1">
      <c r="A4" s="182"/>
      <c r="B4" s="292" t="s">
        <v>412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65"/>
    </row>
    <row r="5" spans="1:30" ht="78" customHeight="1">
      <c r="A5" s="319" t="s">
        <v>356</v>
      </c>
      <c r="B5" s="314" t="s">
        <v>297</v>
      </c>
      <c r="C5" s="318" t="s">
        <v>339</v>
      </c>
      <c r="D5" s="318" t="s">
        <v>299</v>
      </c>
      <c r="E5" s="318" t="s">
        <v>362</v>
      </c>
      <c r="F5" s="318" t="s">
        <v>301</v>
      </c>
      <c r="G5" s="318" t="s">
        <v>6</v>
      </c>
      <c r="H5" s="318" t="s">
        <v>9</v>
      </c>
      <c r="I5" s="318" t="s">
        <v>7</v>
      </c>
      <c r="J5" s="318" t="s">
        <v>303</v>
      </c>
      <c r="K5" s="321" t="s">
        <v>13</v>
      </c>
      <c r="L5" s="318" t="s">
        <v>12</v>
      </c>
      <c r="M5" s="318" t="s">
        <v>14</v>
      </c>
      <c r="N5" s="318" t="s">
        <v>15</v>
      </c>
      <c r="O5" s="318" t="s">
        <v>16</v>
      </c>
      <c r="P5" s="318" t="s">
        <v>340</v>
      </c>
      <c r="Q5" s="318"/>
      <c r="R5" s="318" t="s">
        <v>20</v>
      </c>
      <c r="S5" s="318"/>
      <c r="T5" s="318" t="s">
        <v>22</v>
      </c>
      <c r="U5" s="318"/>
      <c r="V5" s="318" t="s">
        <v>341</v>
      </c>
      <c r="W5" s="318"/>
      <c r="X5" s="318" t="s">
        <v>342</v>
      </c>
      <c r="Y5" s="318" t="s">
        <v>29</v>
      </c>
      <c r="Z5" s="318" t="s">
        <v>30</v>
      </c>
      <c r="AA5" s="329" t="s">
        <v>335</v>
      </c>
      <c r="AB5" s="318" t="s">
        <v>336</v>
      </c>
      <c r="AC5" s="325"/>
    </row>
    <row r="6" spans="1:30" ht="45">
      <c r="A6" s="319"/>
      <c r="B6" s="314"/>
      <c r="C6" s="318"/>
      <c r="D6" s="318"/>
      <c r="E6" s="318"/>
      <c r="F6" s="318"/>
      <c r="G6" s="318"/>
      <c r="H6" s="318"/>
      <c r="I6" s="318"/>
      <c r="J6" s="318"/>
      <c r="K6" s="321"/>
      <c r="L6" s="318"/>
      <c r="M6" s="318"/>
      <c r="N6" s="318"/>
      <c r="O6" s="318"/>
      <c r="P6" s="256" t="s">
        <v>343</v>
      </c>
      <c r="Q6" s="256" t="s">
        <v>35</v>
      </c>
      <c r="R6" s="256" t="s">
        <v>344</v>
      </c>
      <c r="S6" s="256" t="s">
        <v>35</v>
      </c>
      <c r="T6" s="256" t="s">
        <v>345</v>
      </c>
      <c r="U6" s="256" t="s">
        <v>35</v>
      </c>
      <c r="V6" s="256" t="s">
        <v>346</v>
      </c>
      <c r="W6" s="256" t="s">
        <v>35</v>
      </c>
      <c r="X6" s="318"/>
      <c r="Y6" s="318"/>
      <c r="Z6" s="318"/>
      <c r="AA6" s="330"/>
      <c r="AB6" s="318"/>
      <c r="AC6" s="325"/>
    </row>
    <row r="7" spans="1:30">
      <c r="A7" s="183" t="s">
        <v>296</v>
      </c>
      <c r="B7" s="184">
        <v>1</v>
      </c>
      <c r="C7" s="185">
        <v>2</v>
      </c>
      <c r="D7" s="185">
        <v>3</v>
      </c>
      <c r="E7" s="185">
        <f>D7+1</f>
        <v>4</v>
      </c>
      <c r="F7" s="185">
        <v>5</v>
      </c>
      <c r="G7" s="185">
        <v>6</v>
      </c>
      <c r="H7" s="185">
        <v>7</v>
      </c>
      <c r="I7" s="185">
        <v>8</v>
      </c>
      <c r="J7" s="185">
        <v>9</v>
      </c>
      <c r="K7" s="185">
        <v>10</v>
      </c>
      <c r="L7" s="185">
        <v>11</v>
      </c>
      <c r="M7" s="185">
        <v>12</v>
      </c>
      <c r="N7" s="185">
        <v>13</v>
      </c>
      <c r="O7" s="185">
        <v>14</v>
      </c>
      <c r="P7" s="185">
        <v>15</v>
      </c>
      <c r="Q7" s="185">
        <v>16</v>
      </c>
      <c r="R7" s="185">
        <v>17</v>
      </c>
      <c r="S7" s="185">
        <f>R7+1</f>
        <v>18</v>
      </c>
      <c r="T7" s="185">
        <v>19</v>
      </c>
      <c r="U7" s="185">
        <f>T7+1</f>
        <v>20</v>
      </c>
      <c r="V7" s="185">
        <v>21</v>
      </c>
      <c r="W7" s="185">
        <f>V7+1</f>
        <v>22</v>
      </c>
      <c r="X7" s="185">
        <v>23</v>
      </c>
      <c r="Y7" s="186">
        <v>24</v>
      </c>
      <c r="Z7" s="185">
        <v>25</v>
      </c>
      <c r="AA7" s="185">
        <v>26</v>
      </c>
      <c r="AB7" s="185">
        <v>27</v>
      </c>
      <c r="AC7" s="326"/>
    </row>
    <row r="8" spans="1:30" ht="27.75">
      <c r="A8" s="183">
        <v>1</v>
      </c>
      <c r="B8" s="187" t="s">
        <v>111</v>
      </c>
      <c r="C8" s="188" t="s">
        <v>347</v>
      </c>
      <c r="D8" s="189" t="s">
        <v>348</v>
      </c>
      <c r="E8" s="191" t="s">
        <v>349</v>
      </c>
      <c r="F8" s="188" t="s">
        <v>255</v>
      </c>
      <c r="G8" s="190">
        <v>17697</v>
      </c>
      <c r="H8" s="188">
        <v>1</v>
      </c>
      <c r="I8" s="188">
        <v>13.5</v>
      </c>
      <c r="J8" s="188">
        <v>4.03</v>
      </c>
      <c r="K8" s="188">
        <v>1.25</v>
      </c>
      <c r="L8" s="190">
        <f>SUM(G8*1*J8*K8)</f>
        <v>89148.637500000012</v>
      </c>
      <c r="M8" s="190">
        <f>L8*25%</f>
        <v>22287.159375000003</v>
      </c>
      <c r="N8" s="190">
        <f>SUM(M8+L8)</f>
        <v>111435.79687500001</v>
      </c>
      <c r="O8" s="190">
        <f>Q8+S8+U8+W8</f>
        <v>11143.579687500001</v>
      </c>
      <c r="P8" s="190"/>
      <c r="Q8" s="190"/>
      <c r="R8" s="190"/>
      <c r="S8" s="190"/>
      <c r="T8" s="190"/>
      <c r="U8" s="190"/>
      <c r="V8" s="192">
        <v>0.1</v>
      </c>
      <c r="W8" s="190">
        <f>N8*10%</f>
        <v>11143.579687500001</v>
      </c>
      <c r="X8" s="190">
        <f>SUM(N8+O8)</f>
        <v>122579.37656250002</v>
      </c>
      <c r="Y8" s="193">
        <f>N8</f>
        <v>111435.79687500001</v>
      </c>
      <c r="Z8" s="102">
        <f>X8*12</f>
        <v>1470952.5187500003</v>
      </c>
      <c r="AA8" s="190"/>
      <c r="AB8" s="102"/>
      <c r="AC8" s="327"/>
      <c r="AD8" s="175"/>
    </row>
    <row r="9" spans="1:30" ht="27.75">
      <c r="A9" s="34">
        <v>2</v>
      </c>
      <c r="B9" s="194" t="s">
        <v>350</v>
      </c>
      <c r="C9" s="188" t="s">
        <v>347</v>
      </c>
      <c r="D9" s="189" t="s">
        <v>348</v>
      </c>
      <c r="E9" s="191" t="s">
        <v>351</v>
      </c>
      <c r="F9" s="188" t="s">
        <v>255</v>
      </c>
      <c r="G9" s="190">
        <v>17697</v>
      </c>
      <c r="H9" s="188">
        <v>1</v>
      </c>
      <c r="I9" s="40">
        <v>13.5</v>
      </c>
      <c r="J9" s="40">
        <v>3.91</v>
      </c>
      <c r="K9" s="188">
        <v>1.25</v>
      </c>
      <c r="L9" s="190">
        <f t="shared" ref="L9" si="0">SUM(G9*1*J9*K9)</f>
        <v>86494.087500000009</v>
      </c>
      <c r="M9" s="190">
        <f>L9*25%</f>
        <v>21623.521875000002</v>
      </c>
      <c r="N9" s="190">
        <f>SUM(M9+L9)</f>
        <v>108117.60937500001</v>
      </c>
      <c r="O9" s="190">
        <f>Q9+S9+U9+W9</f>
        <v>10811.760937500003</v>
      </c>
      <c r="P9" s="195"/>
      <c r="Q9" s="195"/>
      <c r="R9" s="195"/>
      <c r="S9" s="195"/>
      <c r="T9" s="192"/>
      <c r="U9" s="195"/>
      <c r="V9" s="192">
        <v>0.1</v>
      </c>
      <c r="W9" s="190">
        <f>N9*10%</f>
        <v>10811.760937500003</v>
      </c>
      <c r="X9" s="190">
        <f>SUM(N9+O9)</f>
        <v>118929.37031250002</v>
      </c>
      <c r="Y9" s="193">
        <f>N9</f>
        <v>108117.60937500001</v>
      </c>
      <c r="Z9" s="102">
        <f>X9*12</f>
        <v>1427152.4437500001</v>
      </c>
      <c r="AA9" s="190"/>
      <c r="AB9" s="102"/>
      <c r="AC9" s="327"/>
      <c r="AD9" s="175"/>
    </row>
    <row r="10" spans="1:30" ht="27.75">
      <c r="A10" s="34">
        <v>3</v>
      </c>
      <c r="B10" s="194" t="s">
        <v>352</v>
      </c>
      <c r="C10" s="196" t="s">
        <v>353</v>
      </c>
      <c r="D10" s="189" t="s">
        <v>191</v>
      </c>
      <c r="E10" s="197" t="s">
        <v>208</v>
      </c>
      <c r="F10" s="188" t="s">
        <v>284</v>
      </c>
      <c r="G10" s="190">
        <v>17697</v>
      </c>
      <c r="H10" s="188">
        <v>1</v>
      </c>
      <c r="I10" s="40"/>
      <c r="J10" s="40">
        <v>3.12</v>
      </c>
      <c r="K10" s="188"/>
      <c r="L10" s="190">
        <f>SUM(G10*1*J10)</f>
        <v>55214.64</v>
      </c>
      <c r="M10" s="190"/>
      <c r="N10" s="190">
        <f>SUM(M10+L10)</f>
        <v>55214.64</v>
      </c>
      <c r="O10" s="190">
        <f>Q10+S10+U10+W10</f>
        <v>10830.563999999998</v>
      </c>
      <c r="P10" s="195"/>
      <c r="Q10" s="195"/>
      <c r="R10" s="195"/>
      <c r="S10" s="195"/>
      <c r="T10" s="192">
        <v>0.3</v>
      </c>
      <c r="U10" s="195">
        <f>G10*T10</f>
        <v>5309.0999999999995</v>
      </c>
      <c r="V10" s="192">
        <v>0.1</v>
      </c>
      <c r="W10" s="190">
        <f>N10*10%</f>
        <v>5521.4639999999999</v>
      </c>
      <c r="X10" s="190">
        <f>SUM(N10+O10)</f>
        <v>66045.203999999998</v>
      </c>
      <c r="Y10" s="193">
        <f>N10</f>
        <v>55214.64</v>
      </c>
      <c r="Z10" s="102">
        <f>X10*12</f>
        <v>792542.44799999997</v>
      </c>
      <c r="AA10" s="190"/>
      <c r="AB10" s="102"/>
      <c r="AC10" s="327"/>
      <c r="AD10" s="175"/>
    </row>
    <row r="11" spans="1:30" ht="25.5">
      <c r="A11" s="34"/>
      <c r="B11" s="203" t="s">
        <v>354</v>
      </c>
      <c r="C11" s="40"/>
      <c r="D11" s="188"/>
      <c r="E11" s="199"/>
      <c r="F11" s="188"/>
      <c r="G11" s="190"/>
      <c r="H11" s="204">
        <f>SUM(H8:H10)</f>
        <v>3</v>
      </c>
      <c r="I11" s="198">
        <f>SUM(I8:I10)</f>
        <v>27</v>
      </c>
      <c r="J11" s="40"/>
      <c r="K11" s="188"/>
      <c r="L11" s="199">
        <f>SUM(L8:L10)</f>
        <v>230857.36500000005</v>
      </c>
      <c r="M11" s="199">
        <f>SUM(M8:M10)</f>
        <v>43910.681250000009</v>
      </c>
      <c r="N11" s="199">
        <f>SUM(N8:N10)</f>
        <v>274768.04625000001</v>
      </c>
      <c r="O11" s="199">
        <f>SUM(O8:O10)</f>
        <v>32785.904625000003</v>
      </c>
      <c r="P11" s="195"/>
      <c r="Q11" s="195"/>
      <c r="R11" s="195"/>
      <c r="S11" s="195"/>
      <c r="T11" s="195"/>
      <c r="U11" s="200">
        <f>SUM(U8:U10)</f>
        <v>5309.0999999999995</v>
      </c>
      <c r="V11" s="192"/>
      <c r="W11" s="201">
        <f>SUM(W8:W10)</f>
        <v>27476.804625000004</v>
      </c>
      <c r="X11" s="202">
        <f>SUM(X8:X10)</f>
        <v>307553.95087500004</v>
      </c>
      <c r="Y11" s="205">
        <f>SUM(Y8:Y10)</f>
        <v>274768.04625000001</v>
      </c>
      <c r="Z11" s="202">
        <f>SUM(Z8:Z10)</f>
        <v>3690647.4105000002</v>
      </c>
      <c r="AA11" s="202">
        <f>(Z11-369065)*6%</f>
        <v>199294.94463000001</v>
      </c>
      <c r="AB11" s="202">
        <f>(Z11-369065)*3.5%</f>
        <v>116255.38436750002</v>
      </c>
      <c r="AC11" s="328"/>
      <c r="AD11" s="175"/>
    </row>
    <row r="12" spans="1:30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30" ht="15.75">
      <c r="A13" s="13"/>
      <c r="B13" s="206" t="s">
        <v>355</v>
      </c>
      <c r="C13" s="206"/>
      <c r="D13" s="214"/>
      <c r="E13" s="214"/>
      <c r="F13" s="214"/>
      <c r="G13" s="206"/>
      <c r="H13" s="206" t="s">
        <v>328</v>
      </c>
      <c r="I13" s="214"/>
      <c r="J13" s="214"/>
      <c r="K13" s="214"/>
      <c r="L13" s="214"/>
      <c r="M13" s="214"/>
      <c r="N13" s="143"/>
      <c r="O13" s="212" t="s">
        <v>363</v>
      </c>
      <c r="P13" s="212"/>
      <c r="Q13" s="212"/>
      <c r="R13" s="212"/>
      <c r="S13" s="212"/>
      <c r="T13" s="212"/>
      <c r="U13" s="212"/>
      <c r="V13" s="209"/>
      <c r="W13" s="209"/>
      <c r="X13" s="209"/>
      <c r="Y13" s="13"/>
      <c r="Z13" s="13"/>
      <c r="AA13" s="13"/>
      <c r="AB13" s="13"/>
      <c r="AC13" s="13"/>
    </row>
    <row r="14" spans="1:30" ht="15.75">
      <c r="A14" s="13"/>
      <c r="B14" s="206"/>
      <c r="C14" s="206"/>
      <c r="D14" s="206"/>
      <c r="E14" s="206"/>
      <c r="F14" s="214"/>
      <c r="G14" s="206"/>
      <c r="H14" s="206"/>
      <c r="I14" s="214"/>
      <c r="J14" s="214"/>
      <c r="K14" s="214"/>
      <c r="L14" s="214"/>
      <c r="M14" s="214"/>
      <c r="N14" s="143"/>
      <c r="O14" s="136"/>
      <c r="P14" s="136"/>
      <c r="Q14" s="136"/>
      <c r="R14" s="136"/>
      <c r="S14" s="136"/>
      <c r="T14" s="136"/>
      <c r="U14" s="107"/>
      <c r="V14" s="107"/>
      <c r="W14" s="107"/>
      <c r="X14" s="141"/>
      <c r="Y14" s="13"/>
      <c r="Z14" s="13"/>
      <c r="AA14" s="13"/>
      <c r="AB14" s="13"/>
      <c r="AC14" s="13"/>
    </row>
    <row r="15" spans="1:30" ht="15.75">
      <c r="A15" s="13"/>
      <c r="B15" s="308" t="s">
        <v>364</v>
      </c>
      <c r="C15" s="308"/>
      <c r="D15" s="308"/>
      <c r="E15" s="214"/>
      <c r="F15" s="214"/>
      <c r="G15" s="206"/>
      <c r="H15" s="206" t="s">
        <v>329</v>
      </c>
      <c r="I15" s="214"/>
      <c r="J15" s="214"/>
      <c r="K15" s="214"/>
      <c r="L15" s="214"/>
      <c r="M15" s="214"/>
      <c r="N15" s="164" t="s">
        <v>360</v>
      </c>
      <c r="O15" s="210" t="s">
        <v>365</v>
      </c>
      <c r="P15" s="210"/>
      <c r="Q15" s="210"/>
      <c r="R15" s="210"/>
      <c r="S15" s="210"/>
      <c r="T15" s="210"/>
      <c r="U15" s="210"/>
      <c r="V15" s="210"/>
      <c r="W15" s="107"/>
      <c r="X15" s="141"/>
      <c r="Y15" s="13"/>
      <c r="Z15" s="13"/>
      <c r="AA15" s="13"/>
      <c r="AB15" s="13"/>
      <c r="AC15" s="13"/>
    </row>
    <row r="16" spans="1:30" ht="15.75">
      <c r="A16" s="13"/>
      <c r="B16" s="135"/>
      <c r="C16" s="135"/>
      <c r="D16" s="206"/>
      <c r="E16" s="206"/>
      <c r="F16" s="214"/>
      <c r="G16" s="135"/>
      <c r="H16" s="136"/>
      <c r="I16" s="214"/>
      <c r="J16" s="214"/>
      <c r="K16" s="214"/>
      <c r="L16" s="214"/>
      <c r="M16" s="214"/>
      <c r="N16" s="143"/>
      <c r="O16" s="178"/>
      <c r="P16" s="177"/>
      <c r="Q16" s="135"/>
      <c r="R16" s="178"/>
      <c r="S16" s="178"/>
      <c r="T16" s="177"/>
      <c r="U16" s="107"/>
      <c r="V16" s="107"/>
      <c r="W16" s="107"/>
      <c r="X16" s="145"/>
      <c r="Y16" s="13"/>
      <c r="Z16" s="13"/>
      <c r="AA16" s="13"/>
      <c r="AB16" s="13"/>
      <c r="AC16" s="13"/>
    </row>
    <row r="17" spans="1:29" ht="15.75">
      <c r="A17" s="143"/>
      <c r="B17" s="308" t="s">
        <v>358</v>
      </c>
      <c r="C17" s="308"/>
      <c r="D17" s="308"/>
      <c r="E17" s="308"/>
      <c r="F17" s="308"/>
      <c r="G17" s="308"/>
      <c r="H17" s="308"/>
      <c r="I17" s="308"/>
      <c r="J17" s="207"/>
      <c r="K17" s="214"/>
      <c r="L17" s="214"/>
      <c r="M17" s="214"/>
      <c r="N17" s="143"/>
      <c r="O17" s="320" t="s">
        <v>366</v>
      </c>
      <c r="P17" s="320"/>
      <c r="Q17" s="320"/>
      <c r="R17" s="320"/>
      <c r="S17" s="320"/>
      <c r="T17" s="320"/>
      <c r="U17" s="320"/>
      <c r="V17" s="320"/>
      <c r="W17" s="320"/>
      <c r="X17" s="143" t="s">
        <v>359</v>
      </c>
      <c r="Y17" s="143"/>
      <c r="Z17" s="143"/>
      <c r="AA17" s="143"/>
      <c r="AB17" s="143"/>
      <c r="AC17" s="143"/>
    </row>
    <row r="18" spans="1:29" ht="15.75">
      <c r="A18" s="143"/>
      <c r="B18" s="208" t="s">
        <v>361</v>
      </c>
      <c r="C18" s="208"/>
      <c r="D18" s="208"/>
      <c r="E18" s="208"/>
      <c r="F18" s="208"/>
      <c r="G18" s="208"/>
      <c r="H18" s="208"/>
      <c r="I18" s="208"/>
      <c r="J18" s="214"/>
      <c r="K18" s="214"/>
      <c r="L18" s="214"/>
      <c r="M18" s="214"/>
      <c r="N18" s="143"/>
      <c r="O18" s="178"/>
      <c r="P18" s="178"/>
      <c r="Q18" s="136"/>
      <c r="R18" s="107"/>
      <c r="S18" s="107"/>
      <c r="T18" s="177"/>
      <c r="U18" s="107"/>
      <c r="V18" s="136"/>
      <c r="W18" s="107"/>
      <c r="X18" s="143"/>
      <c r="Y18" s="143"/>
      <c r="Z18" s="143"/>
      <c r="AA18" s="143"/>
      <c r="AB18" s="143"/>
      <c r="AC18" s="143"/>
    </row>
    <row r="19" spans="1:29" ht="15.75">
      <c r="A19" s="143"/>
      <c r="B19" s="136"/>
      <c r="C19" s="135"/>
      <c r="D19" s="135"/>
      <c r="E19" s="135"/>
      <c r="F19" s="136"/>
      <c r="G19" s="135"/>
      <c r="H19" s="214"/>
      <c r="I19" s="214"/>
      <c r="J19" s="214"/>
      <c r="K19" s="214"/>
      <c r="L19" s="214"/>
      <c r="M19" s="214"/>
      <c r="N19" s="143"/>
      <c r="O19" s="212" t="s">
        <v>367</v>
      </c>
      <c r="P19" s="212"/>
      <c r="Q19" s="212"/>
      <c r="R19" s="212"/>
      <c r="S19" s="212"/>
      <c r="T19" s="212"/>
      <c r="U19" s="212"/>
      <c r="V19" s="107"/>
      <c r="W19" s="107"/>
      <c r="X19" s="143"/>
      <c r="Y19" s="143"/>
      <c r="Z19" s="143"/>
      <c r="AA19" s="143"/>
      <c r="AB19" s="143"/>
      <c r="AC19" s="143"/>
    </row>
    <row r="20" spans="1:29" ht="15.75">
      <c r="A20" s="143"/>
      <c r="B20" s="180"/>
      <c r="C20" s="179"/>
      <c r="D20" s="135"/>
      <c r="E20" s="135"/>
      <c r="F20" s="136"/>
      <c r="G20" s="135"/>
      <c r="H20" s="136"/>
      <c r="I20" s="152"/>
      <c r="J20" s="152"/>
      <c r="K20" s="152"/>
      <c r="L20" s="152"/>
      <c r="M20" s="152"/>
      <c r="N20" s="143"/>
      <c r="O20" s="107"/>
      <c r="P20" s="178"/>
      <c r="Q20" s="136"/>
      <c r="R20" s="104"/>
      <c r="S20" s="181"/>
      <c r="T20" s="211"/>
      <c r="U20" s="181"/>
      <c r="V20" s="136"/>
      <c r="W20" s="181"/>
      <c r="X20" s="143"/>
      <c r="Y20" s="143"/>
      <c r="Z20" s="143"/>
      <c r="AA20" s="143"/>
      <c r="AB20" s="143"/>
      <c r="AC20" s="143"/>
    </row>
    <row r="21" spans="1:29" ht="15.75">
      <c r="A21" s="143"/>
      <c r="B21" s="141"/>
      <c r="C21" s="13"/>
      <c r="D21" s="13"/>
      <c r="E21" s="13"/>
      <c r="F21" s="13"/>
      <c r="G21" s="138"/>
      <c r="H21" s="137"/>
      <c r="I21" s="144"/>
      <c r="J21" s="1"/>
      <c r="K21" s="1"/>
      <c r="L21" s="1"/>
      <c r="M21" s="1"/>
      <c r="N21" s="1"/>
      <c r="O21" s="212" t="s">
        <v>368</v>
      </c>
      <c r="P21" s="212"/>
      <c r="Q21" s="212"/>
      <c r="R21" s="212"/>
      <c r="S21" s="212"/>
      <c r="T21" s="212"/>
      <c r="U21" s="212"/>
      <c r="V21" s="136"/>
      <c r="W21" s="152"/>
      <c r="X21" s="143"/>
      <c r="Y21" s="143"/>
      <c r="Z21" s="143"/>
      <c r="AA21" s="143"/>
      <c r="AB21" s="143"/>
      <c r="AC21" s="143"/>
    </row>
    <row r="22" spans="1:29">
      <c r="A22" s="143"/>
      <c r="B22" s="141"/>
      <c r="C22" s="13"/>
      <c r="D22" s="13"/>
      <c r="E22" s="13"/>
      <c r="F22" s="143"/>
      <c r="G22" s="138"/>
      <c r="H22" s="141"/>
      <c r="I22" s="144"/>
      <c r="J22" s="1"/>
      <c r="K22" s="1"/>
      <c r="L22" s="1"/>
      <c r="M22" s="1"/>
      <c r="N22" s="142"/>
      <c r="O22" s="137"/>
      <c r="P22" s="140"/>
      <c r="Q22" s="137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</row>
    <row r="23" spans="1:29">
      <c r="A23" s="143"/>
      <c r="B23" s="13"/>
      <c r="C23" s="13"/>
      <c r="D23" s="13"/>
      <c r="E23" s="13"/>
      <c r="F23" s="13"/>
      <c r="G23" s="138"/>
      <c r="H23" s="137"/>
      <c r="I23" s="1"/>
      <c r="J23" s="1"/>
      <c r="K23" s="1"/>
      <c r="L23" s="1"/>
      <c r="M23" s="141"/>
      <c r="N23" s="1"/>
      <c r="O23" s="137"/>
      <c r="P23" s="140"/>
      <c r="Q23" s="137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</row>
    <row r="24" spans="1:29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</row>
    <row r="25" spans="1:29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</row>
    <row r="26" spans="1:29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</row>
    <row r="27" spans="1:29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</row>
    <row r="28" spans="1:29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</row>
    <row r="29" spans="1:29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</row>
    <row r="30" spans="1:29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</row>
    <row r="31" spans="1:29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</row>
    <row r="32" spans="1:29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</row>
    <row r="33" spans="1:29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</row>
    <row r="34" spans="1:29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</row>
    <row r="35" spans="1:29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</row>
  </sheetData>
  <mergeCells count="30">
    <mergeCell ref="A5:A6"/>
    <mergeCell ref="O17:W17"/>
    <mergeCell ref="O5:O6"/>
    <mergeCell ref="P5:Q5"/>
    <mergeCell ref="R5:S5"/>
    <mergeCell ref="T5:U5"/>
    <mergeCell ref="V5:W5"/>
    <mergeCell ref="J5:J6"/>
    <mergeCell ref="K5:K6"/>
    <mergeCell ref="L5:L6"/>
    <mergeCell ref="M5:M6"/>
    <mergeCell ref="N5:N6"/>
    <mergeCell ref="B15:D15"/>
    <mergeCell ref="E5:E6"/>
    <mergeCell ref="D5:D6"/>
    <mergeCell ref="B1:C1"/>
    <mergeCell ref="B3:D3"/>
    <mergeCell ref="B17:I17"/>
    <mergeCell ref="X5:X6"/>
    <mergeCell ref="Y5:Y6"/>
    <mergeCell ref="B4:AB4"/>
    <mergeCell ref="C5:C6"/>
    <mergeCell ref="B5:B6"/>
    <mergeCell ref="I5:I6"/>
    <mergeCell ref="H5:H6"/>
    <mergeCell ref="G5:G6"/>
    <mergeCell ref="F5:F6"/>
    <mergeCell ref="AB5:AB6"/>
    <mergeCell ref="Z5:Z6"/>
    <mergeCell ref="AA5:AA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тариф дежурный</vt:lpstr>
      <vt:lpstr>мастерство 01092020</vt:lpstr>
      <vt:lpstr>дежурный мастерство</vt:lpstr>
      <vt:lpstr>01.09.2020тариф</vt:lpstr>
      <vt:lpstr>тариф МЦ 01092020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2020-09-28T04:05:20Z</dcterms:modified>
</cp:coreProperties>
</file>